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theodore.kabore\OneDrive - World Food Programme\Documents\Théodore\OCHA\HPC 2023\ABC\"/>
    </mc:Choice>
  </mc:AlternateContent>
  <xr:revisionPtr revIDLastSave="0" documentId="13_ncr:1_{67AFBC39-7B6C-4CA1-AA7F-9D3326FA8E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ûts Activites" sheetId="3" r:id="rId1"/>
    <sheet name="AA_Coupon" sheetId="8" r:id="rId2"/>
    <sheet name="AA_Cash " sheetId="9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9" roundtripDataSignature="AMtx7mjB+EXqOaIiPBRqmDOPVtAbE1J3ow=="/>
    </ext>
  </extLst>
</workbook>
</file>

<file path=xl/calcChain.xml><?xml version="1.0" encoding="utf-8"?>
<calcChain xmlns="http://schemas.openxmlformats.org/spreadsheetml/2006/main">
  <c r="G167" i="3" l="1"/>
  <c r="H167" i="3"/>
  <c r="I167" i="3"/>
  <c r="G168" i="3"/>
  <c r="H168" i="3"/>
  <c r="I168" i="3"/>
  <c r="G169" i="3"/>
  <c r="H169" i="3"/>
  <c r="I169" i="3"/>
  <c r="G170" i="3"/>
  <c r="H170" i="3"/>
  <c r="I170" i="3"/>
  <c r="G171" i="3"/>
  <c r="H171" i="3"/>
  <c r="I171" i="3"/>
  <c r="I166" i="3"/>
  <c r="H166" i="3"/>
  <c r="G166" i="3"/>
  <c r="G154" i="3"/>
  <c r="H154" i="3"/>
  <c r="I154" i="3"/>
  <c r="G155" i="3"/>
  <c r="H155" i="3"/>
  <c r="I155" i="3"/>
  <c r="G156" i="3"/>
  <c r="H156" i="3"/>
  <c r="I156" i="3"/>
  <c r="G157" i="3"/>
  <c r="H157" i="3"/>
  <c r="I157" i="3"/>
  <c r="G158" i="3"/>
  <c r="H158" i="3"/>
  <c r="I158" i="3"/>
  <c r="G159" i="3"/>
  <c r="H159" i="3"/>
  <c r="I159" i="3"/>
  <c r="G160" i="3"/>
  <c r="H160" i="3"/>
  <c r="I160" i="3"/>
  <c r="G161" i="3"/>
  <c r="H161" i="3"/>
  <c r="I161" i="3"/>
  <c r="G162" i="3"/>
  <c r="H162" i="3"/>
  <c r="I162" i="3"/>
  <c r="G163" i="3"/>
  <c r="H163" i="3"/>
  <c r="I163" i="3"/>
  <c r="G164" i="3"/>
  <c r="H164" i="3"/>
  <c r="I164" i="3"/>
  <c r="I153" i="3"/>
  <c r="H153" i="3"/>
  <c r="G153" i="3"/>
  <c r="G69" i="3"/>
  <c r="H69" i="3"/>
  <c r="I69" i="3"/>
  <c r="G70" i="3"/>
  <c r="H70" i="3"/>
  <c r="I70" i="3"/>
  <c r="G71" i="3"/>
  <c r="H71" i="3"/>
  <c r="I71" i="3"/>
  <c r="G72" i="3"/>
  <c r="H72" i="3"/>
  <c r="I72" i="3"/>
  <c r="G73" i="3"/>
  <c r="H73" i="3"/>
  <c r="I73" i="3"/>
  <c r="G74" i="3"/>
  <c r="H74" i="3"/>
  <c r="I74" i="3"/>
  <c r="G75" i="3"/>
  <c r="H75" i="3"/>
  <c r="I75" i="3"/>
  <c r="G76" i="3"/>
  <c r="H76" i="3"/>
  <c r="I76" i="3"/>
  <c r="G77" i="3"/>
  <c r="H77" i="3"/>
  <c r="I77" i="3"/>
  <c r="G78" i="3"/>
  <c r="H78" i="3"/>
  <c r="I78" i="3"/>
  <c r="G79" i="3"/>
  <c r="H79" i="3"/>
  <c r="I79" i="3"/>
  <c r="G80" i="3"/>
  <c r="H80" i="3"/>
  <c r="I80" i="3"/>
  <c r="G81" i="3"/>
  <c r="H81" i="3"/>
  <c r="I81" i="3"/>
  <c r="G82" i="3"/>
  <c r="H82" i="3"/>
  <c r="I82" i="3"/>
  <c r="G83" i="3"/>
  <c r="H83" i="3"/>
  <c r="I83" i="3"/>
  <c r="G84" i="3"/>
  <c r="H84" i="3"/>
  <c r="I84" i="3"/>
  <c r="G85" i="3"/>
  <c r="H85" i="3"/>
  <c r="I85" i="3"/>
  <c r="G86" i="3"/>
  <c r="H86" i="3"/>
  <c r="I86" i="3"/>
  <c r="G87" i="3"/>
  <c r="H87" i="3"/>
  <c r="I87" i="3"/>
  <c r="G88" i="3"/>
  <c r="H88" i="3"/>
  <c r="I88" i="3"/>
  <c r="G89" i="3"/>
  <c r="H89" i="3"/>
  <c r="I89" i="3"/>
  <c r="G90" i="3"/>
  <c r="H90" i="3"/>
  <c r="I90" i="3"/>
  <c r="G91" i="3"/>
  <c r="H91" i="3"/>
  <c r="I91" i="3"/>
  <c r="G92" i="3"/>
  <c r="H92" i="3"/>
  <c r="I92" i="3"/>
  <c r="G93" i="3"/>
  <c r="H93" i="3"/>
  <c r="I93" i="3"/>
  <c r="G94" i="3"/>
  <c r="H94" i="3"/>
  <c r="I94" i="3"/>
  <c r="G95" i="3"/>
  <c r="H95" i="3"/>
  <c r="I95" i="3"/>
  <c r="G96" i="3"/>
  <c r="H96" i="3"/>
  <c r="I96" i="3"/>
  <c r="G97" i="3"/>
  <c r="H97" i="3"/>
  <c r="I97" i="3"/>
  <c r="G98" i="3"/>
  <c r="H98" i="3"/>
  <c r="I98" i="3"/>
  <c r="G99" i="3"/>
  <c r="H99" i="3"/>
  <c r="I99" i="3"/>
  <c r="G100" i="3"/>
  <c r="H100" i="3"/>
  <c r="I100" i="3"/>
  <c r="G101" i="3"/>
  <c r="H101" i="3"/>
  <c r="I101" i="3"/>
  <c r="G102" i="3"/>
  <c r="H102" i="3"/>
  <c r="I102" i="3"/>
  <c r="G103" i="3"/>
  <c r="H103" i="3"/>
  <c r="I103" i="3"/>
  <c r="G104" i="3"/>
  <c r="H104" i="3"/>
  <c r="I104" i="3"/>
  <c r="G105" i="3"/>
  <c r="H105" i="3"/>
  <c r="I105" i="3"/>
  <c r="G106" i="3"/>
  <c r="H106" i="3"/>
  <c r="I106" i="3"/>
  <c r="G107" i="3"/>
  <c r="H107" i="3"/>
  <c r="I107" i="3"/>
  <c r="G108" i="3"/>
  <c r="H108" i="3"/>
  <c r="I108" i="3"/>
  <c r="G109" i="3"/>
  <c r="H109" i="3"/>
  <c r="I109" i="3"/>
  <c r="G110" i="3"/>
  <c r="H110" i="3"/>
  <c r="I110" i="3"/>
  <c r="G111" i="3"/>
  <c r="H111" i="3"/>
  <c r="I111" i="3"/>
  <c r="G112" i="3"/>
  <c r="H112" i="3"/>
  <c r="I112" i="3"/>
  <c r="G113" i="3"/>
  <c r="H113" i="3"/>
  <c r="I113" i="3"/>
  <c r="G114" i="3"/>
  <c r="H114" i="3"/>
  <c r="I114" i="3"/>
  <c r="G115" i="3"/>
  <c r="H115" i="3"/>
  <c r="I115" i="3"/>
  <c r="G116" i="3"/>
  <c r="H116" i="3"/>
  <c r="I116" i="3"/>
  <c r="G117" i="3"/>
  <c r="H117" i="3"/>
  <c r="I117" i="3"/>
  <c r="G118" i="3"/>
  <c r="H118" i="3"/>
  <c r="I118" i="3"/>
  <c r="G119" i="3"/>
  <c r="H119" i="3"/>
  <c r="I119" i="3"/>
  <c r="G120" i="3"/>
  <c r="H120" i="3"/>
  <c r="I120" i="3"/>
  <c r="G121" i="3"/>
  <c r="H121" i="3"/>
  <c r="I121" i="3"/>
  <c r="G122" i="3"/>
  <c r="H122" i="3"/>
  <c r="I122" i="3"/>
  <c r="G123" i="3"/>
  <c r="H123" i="3"/>
  <c r="I123" i="3"/>
  <c r="G124" i="3"/>
  <c r="H124" i="3"/>
  <c r="I124" i="3"/>
  <c r="G125" i="3"/>
  <c r="H125" i="3"/>
  <c r="I125" i="3"/>
  <c r="G126" i="3"/>
  <c r="H126" i="3"/>
  <c r="I126" i="3"/>
  <c r="G127" i="3"/>
  <c r="H127" i="3"/>
  <c r="I127" i="3"/>
  <c r="G128" i="3"/>
  <c r="H128" i="3"/>
  <c r="I128" i="3"/>
  <c r="G129" i="3"/>
  <c r="H129" i="3"/>
  <c r="I129" i="3"/>
  <c r="G130" i="3"/>
  <c r="H130" i="3"/>
  <c r="I130" i="3"/>
  <c r="G131" i="3"/>
  <c r="H131" i="3"/>
  <c r="I131" i="3"/>
  <c r="G132" i="3"/>
  <c r="H132" i="3"/>
  <c r="I132" i="3"/>
  <c r="G133" i="3"/>
  <c r="H133" i="3"/>
  <c r="I133" i="3"/>
  <c r="G134" i="3"/>
  <c r="H134" i="3"/>
  <c r="I134" i="3"/>
  <c r="G135" i="3"/>
  <c r="H135" i="3"/>
  <c r="I135" i="3"/>
  <c r="G136" i="3"/>
  <c r="H136" i="3"/>
  <c r="I136" i="3"/>
  <c r="G137" i="3"/>
  <c r="H137" i="3"/>
  <c r="I137" i="3"/>
  <c r="G138" i="3"/>
  <c r="H138" i="3"/>
  <c r="I138" i="3"/>
  <c r="G139" i="3"/>
  <c r="H139" i="3"/>
  <c r="I139" i="3"/>
  <c r="G140" i="3"/>
  <c r="H140" i="3"/>
  <c r="I140" i="3"/>
  <c r="G141" i="3"/>
  <c r="H141" i="3"/>
  <c r="I141" i="3"/>
  <c r="G142" i="3"/>
  <c r="H142" i="3"/>
  <c r="I142" i="3"/>
  <c r="G143" i="3"/>
  <c r="H143" i="3"/>
  <c r="I143" i="3"/>
  <c r="G144" i="3"/>
  <c r="H144" i="3"/>
  <c r="I144" i="3"/>
  <c r="G145" i="3"/>
  <c r="H145" i="3"/>
  <c r="I145" i="3"/>
  <c r="G146" i="3"/>
  <c r="H146" i="3"/>
  <c r="I146" i="3"/>
  <c r="G147" i="3"/>
  <c r="H147" i="3"/>
  <c r="I147" i="3"/>
  <c r="G148" i="3"/>
  <c r="H148" i="3"/>
  <c r="I148" i="3"/>
  <c r="G149" i="3"/>
  <c r="H149" i="3"/>
  <c r="I149" i="3"/>
  <c r="G150" i="3"/>
  <c r="H150" i="3"/>
  <c r="I150" i="3"/>
  <c r="G151" i="3"/>
  <c r="H151" i="3"/>
  <c r="I151" i="3"/>
  <c r="I68" i="3"/>
  <c r="H68" i="3"/>
  <c r="G68" i="3"/>
  <c r="G35" i="3"/>
  <c r="H35" i="3"/>
  <c r="I35" i="3"/>
  <c r="G36" i="3"/>
  <c r="H36" i="3"/>
  <c r="I36" i="3"/>
  <c r="G37" i="3"/>
  <c r="H37" i="3"/>
  <c r="I37" i="3"/>
  <c r="G38" i="3"/>
  <c r="H38" i="3"/>
  <c r="I38" i="3"/>
  <c r="G39" i="3"/>
  <c r="H39" i="3"/>
  <c r="I39" i="3"/>
  <c r="G40" i="3"/>
  <c r="H40" i="3"/>
  <c r="I40" i="3"/>
  <c r="G41" i="3"/>
  <c r="H41" i="3"/>
  <c r="I41" i="3"/>
  <c r="G42" i="3"/>
  <c r="H42" i="3"/>
  <c r="I42" i="3"/>
  <c r="G43" i="3"/>
  <c r="H43" i="3"/>
  <c r="I43" i="3"/>
  <c r="G44" i="3"/>
  <c r="H44" i="3"/>
  <c r="I44" i="3"/>
  <c r="G45" i="3"/>
  <c r="H45" i="3"/>
  <c r="I45" i="3"/>
  <c r="G46" i="3"/>
  <c r="H46" i="3"/>
  <c r="I46" i="3"/>
  <c r="G47" i="3"/>
  <c r="H47" i="3"/>
  <c r="I47" i="3"/>
  <c r="G48" i="3"/>
  <c r="H48" i="3"/>
  <c r="I48" i="3"/>
  <c r="G49" i="3"/>
  <c r="H49" i="3"/>
  <c r="I49" i="3"/>
  <c r="G50" i="3"/>
  <c r="H50" i="3"/>
  <c r="I50" i="3"/>
  <c r="G51" i="3"/>
  <c r="H51" i="3"/>
  <c r="I51" i="3"/>
  <c r="G52" i="3"/>
  <c r="H52" i="3"/>
  <c r="I52" i="3"/>
  <c r="G53" i="3"/>
  <c r="H53" i="3"/>
  <c r="I53" i="3"/>
  <c r="G54" i="3"/>
  <c r="H54" i="3"/>
  <c r="I54" i="3"/>
  <c r="G55" i="3"/>
  <c r="H55" i="3"/>
  <c r="I55" i="3"/>
  <c r="G56" i="3"/>
  <c r="H56" i="3"/>
  <c r="I56" i="3"/>
  <c r="G57" i="3"/>
  <c r="H57" i="3"/>
  <c r="I57" i="3"/>
  <c r="G58" i="3"/>
  <c r="H58" i="3"/>
  <c r="I58" i="3"/>
  <c r="G59" i="3"/>
  <c r="H59" i="3"/>
  <c r="I59" i="3"/>
  <c r="G60" i="3"/>
  <c r="H60" i="3"/>
  <c r="I60" i="3"/>
  <c r="G61" i="3"/>
  <c r="H61" i="3"/>
  <c r="I61" i="3"/>
  <c r="G62" i="3"/>
  <c r="H62" i="3"/>
  <c r="I62" i="3"/>
  <c r="G63" i="3"/>
  <c r="H63" i="3"/>
  <c r="I63" i="3"/>
  <c r="G64" i="3"/>
  <c r="H64" i="3"/>
  <c r="I64" i="3"/>
  <c r="G65" i="3"/>
  <c r="H65" i="3"/>
  <c r="I65" i="3"/>
  <c r="G66" i="3"/>
  <c r="H66" i="3"/>
  <c r="I66" i="3"/>
  <c r="I34" i="3"/>
  <c r="H34" i="3"/>
  <c r="G34" i="3"/>
  <c r="G7" i="3"/>
  <c r="H7" i="3"/>
  <c r="I7" i="3"/>
  <c r="G8" i="3"/>
  <c r="H8" i="3"/>
  <c r="I8" i="3"/>
  <c r="G9" i="3"/>
  <c r="H9" i="3"/>
  <c r="I9" i="3"/>
  <c r="G10" i="3"/>
  <c r="H10" i="3"/>
  <c r="I10" i="3"/>
  <c r="G11" i="3"/>
  <c r="H11" i="3"/>
  <c r="I11" i="3"/>
  <c r="G12" i="3"/>
  <c r="H12" i="3"/>
  <c r="I12" i="3"/>
  <c r="G13" i="3"/>
  <c r="H13" i="3"/>
  <c r="I13" i="3"/>
  <c r="G14" i="3"/>
  <c r="H14" i="3"/>
  <c r="I14" i="3"/>
  <c r="G15" i="3"/>
  <c r="H15" i="3"/>
  <c r="I15" i="3"/>
  <c r="G16" i="3"/>
  <c r="H16" i="3"/>
  <c r="I16" i="3"/>
  <c r="G17" i="3"/>
  <c r="H17" i="3"/>
  <c r="I17" i="3"/>
  <c r="G18" i="3"/>
  <c r="H18" i="3"/>
  <c r="I18" i="3"/>
  <c r="G19" i="3"/>
  <c r="H19" i="3"/>
  <c r="I19" i="3"/>
  <c r="G20" i="3"/>
  <c r="H20" i="3"/>
  <c r="I20" i="3"/>
  <c r="G21" i="3"/>
  <c r="H21" i="3"/>
  <c r="I21" i="3"/>
  <c r="G22" i="3"/>
  <c r="H22" i="3"/>
  <c r="I22" i="3"/>
  <c r="G23" i="3"/>
  <c r="H23" i="3"/>
  <c r="I23" i="3"/>
  <c r="G24" i="3"/>
  <c r="H24" i="3"/>
  <c r="I24" i="3"/>
  <c r="G25" i="3"/>
  <c r="H25" i="3"/>
  <c r="I25" i="3"/>
  <c r="G26" i="3"/>
  <c r="H26" i="3"/>
  <c r="I26" i="3"/>
  <c r="G27" i="3"/>
  <c r="H27" i="3"/>
  <c r="I27" i="3"/>
  <c r="G28" i="3"/>
  <c r="H28" i="3"/>
  <c r="I28" i="3"/>
  <c r="G29" i="3"/>
  <c r="H29" i="3"/>
  <c r="I29" i="3"/>
  <c r="G30" i="3"/>
  <c r="H30" i="3"/>
  <c r="I30" i="3"/>
  <c r="G31" i="3"/>
  <c r="H31" i="3"/>
  <c r="I31" i="3"/>
  <c r="G32" i="3"/>
  <c r="H32" i="3"/>
  <c r="I32" i="3"/>
  <c r="I6" i="3"/>
  <c r="H6" i="3"/>
  <c r="G6" i="3"/>
  <c r="F171" i="3"/>
  <c r="F170" i="3"/>
  <c r="F169" i="3"/>
  <c r="F153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34" i="3" l="1"/>
  <c r="F35" i="3"/>
  <c r="F36" i="3"/>
  <c r="F37" i="3"/>
  <c r="F38" i="3"/>
  <c r="F39" i="3"/>
  <c r="F40" i="3"/>
  <c r="F41" i="3"/>
  <c r="F42" i="3"/>
  <c r="F43" i="3"/>
  <c r="F44" i="3"/>
  <c r="F47" i="3"/>
  <c r="F48" i="3"/>
  <c r="F49" i="3"/>
  <c r="F46" i="3"/>
  <c r="F45" i="3"/>
  <c r="F65" i="3" l="1"/>
  <c r="F66" i="3"/>
  <c r="F52" i="3"/>
  <c r="F54" i="3"/>
  <c r="F56" i="3"/>
  <c r="F55" i="3"/>
  <c r="F64" i="3"/>
  <c r="F63" i="3"/>
  <c r="F61" i="3"/>
  <c r="F60" i="3"/>
  <c r="F62" i="3"/>
  <c r="F58" i="3"/>
  <c r="F59" i="3"/>
  <c r="F53" i="3"/>
  <c r="F51" i="3"/>
  <c r="F57" i="3"/>
  <c r="F50" i="3"/>
  <c r="E32" i="3" l="1"/>
  <c r="D32" i="3"/>
  <c r="F31" i="3"/>
  <c r="E30" i="3"/>
  <c r="D30" i="3"/>
  <c r="E25" i="3"/>
  <c r="E20" i="3" s="1"/>
  <c r="F25" i="3"/>
  <c r="D25" i="3"/>
  <c r="D20" i="3" s="1"/>
  <c r="E19" i="3"/>
  <c r="D19" i="3"/>
  <c r="F29" i="3"/>
  <c r="F28" i="3"/>
  <c r="F27" i="3"/>
  <c r="F26" i="3"/>
  <c r="F15" i="3"/>
  <c r="F16" i="3"/>
  <c r="F17" i="3"/>
  <c r="F18" i="3"/>
  <c r="F14" i="3"/>
  <c r="F13" i="3"/>
  <c r="F11" i="3"/>
  <c r="F12" i="3"/>
  <c r="E10" i="3"/>
  <c r="D10" i="3"/>
  <c r="E9" i="3"/>
  <c r="D9" i="3"/>
  <c r="F7" i="3"/>
  <c r="E8" i="3"/>
  <c r="D8" i="3"/>
  <c r="F32" i="3" l="1"/>
  <c r="F30" i="3"/>
  <c r="F9" i="3"/>
  <c r="F20" i="3"/>
  <c r="F19" i="3"/>
  <c r="F10" i="3"/>
  <c r="F8" i="3"/>
  <c r="F53" i="9"/>
  <c r="J53" i="9" s="1"/>
  <c r="F52" i="9"/>
  <c r="J52" i="9" s="1"/>
  <c r="F51" i="9"/>
  <c r="F50" i="9"/>
  <c r="J50" i="9" s="1"/>
  <c r="F49" i="9"/>
  <c r="F48" i="9"/>
  <c r="B41" i="9"/>
  <c r="F39" i="9"/>
  <c r="F38" i="9"/>
  <c r="J38" i="9" s="1"/>
  <c r="F37" i="9"/>
  <c r="B24" i="9"/>
  <c r="B25" i="9" s="1"/>
  <c r="E14" i="9"/>
  <c r="J14" i="9" s="1"/>
  <c r="E13" i="9"/>
  <c r="J13" i="9" s="1"/>
  <c r="E12" i="9"/>
  <c r="J12" i="9" s="1"/>
  <c r="E11" i="9"/>
  <c r="J8" i="9"/>
  <c r="C5" i="9"/>
  <c r="C4" i="9"/>
  <c r="C3" i="9"/>
  <c r="C2" i="9"/>
  <c r="F54" i="8"/>
  <c r="J54" i="8" s="1"/>
  <c r="F53" i="8"/>
  <c r="J53" i="8" s="1"/>
  <c r="F52" i="8"/>
  <c r="J52" i="8" s="1"/>
  <c r="F51" i="8"/>
  <c r="J51" i="8" s="1"/>
  <c r="F50" i="8"/>
  <c r="J50" i="8" s="1"/>
  <c r="F49" i="8"/>
  <c r="H44" i="8"/>
  <c r="B40" i="8"/>
  <c r="B41" i="8" s="1"/>
  <c r="F39" i="8"/>
  <c r="J39" i="8" s="1"/>
  <c r="F38" i="8"/>
  <c r="J38" i="8" s="1"/>
  <c r="F37" i="8"/>
  <c r="E13" i="8"/>
  <c r="J13" i="8" s="1"/>
  <c r="E12" i="8"/>
  <c r="J12" i="8" s="1"/>
  <c r="J8" i="8"/>
  <c r="G51" i="8" s="1"/>
  <c r="B24" i="8"/>
  <c r="C5" i="8"/>
  <c r="B14" i="8" s="1"/>
  <c r="E14" i="8" s="1"/>
  <c r="J14" i="8" s="1"/>
  <c r="C4" i="8"/>
  <c r="B13" i="8" s="1"/>
  <c r="C3" i="8"/>
  <c r="B12" i="8" s="1"/>
  <c r="E6" i="8" s="1"/>
  <c r="C2" i="8"/>
  <c r="B11" i="8" s="1"/>
  <c r="E5" i="8" s="1"/>
  <c r="E11" i="8" l="1"/>
  <c r="G39" i="9"/>
  <c r="G51" i="9"/>
  <c r="J51" i="9"/>
  <c r="E24" i="9"/>
  <c r="F24" i="9" s="1"/>
  <c r="G52" i="9"/>
  <c r="E15" i="9"/>
  <c r="F54" i="9"/>
  <c r="J54" i="9" s="1"/>
  <c r="G49" i="9"/>
  <c r="J39" i="9"/>
  <c r="J49" i="9"/>
  <c r="F41" i="9"/>
  <c r="G41" i="9" s="1"/>
  <c r="B42" i="9"/>
  <c r="E16" i="9"/>
  <c r="B31" i="9" s="1"/>
  <c r="E25" i="9"/>
  <c r="F25" i="9" s="1"/>
  <c r="F26" i="9" s="1"/>
  <c r="F40" i="9"/>
  <c r="G40" i="9" s="1"/>
  <c r="G53" i="9"/>
  <c r="J11" i="9"/>
  <c r="G38" i="9"/>
  <c r="G48" i="9"/>
  <c r="G37" i="9"/>
  <c r="J37" i="9"/>
  <c r="G50" i="9"/>
  <c r="J48" i="9"/>
  <c r="E15" i="8"/>
  <c r="E16" i="8" s="1"/>
  <c r="F16" i="8" s="1"/>
  <c r="F55" i="8"/>
  <c r="G55" i="8" s="1"/>
  <c r="G37" i="8"/>
  <c r="J11" i="8"/>
  <c r="J37" i="8"/>
  <c r="F40" i="8"/>
  <c r="G40" i="8" s="1"/>
  <c r="B42" i="8"/>
  <c r="F41" i="8"/>
  <c r="G41" i="8" s="1"/>
  <c r="B25" i="8"/>
  <c r="E24" i="8"/>
  <c r="F24" i="8" s="1"/>
  <c r="G54" i="8"/>
  <c r="G38" i="8"/>
  <c r="G49" i="8"/>
  <c r="J49" i="8"/>
  <c r="G52" i="8"/>
  <c r="G39" i="8"/>
  <c r="G50" i="8"/>
  <c r="G53" i="8"/>
  <c r="F15" i="9" l="1"/>
  <c r="E32" i="9"/>
  <c r="E33" i="9" s="1"/>
  <c r="J24" i="9"/>
  <c r="J40" i="9"/>
  <c r="J41" i="9"/>
  <c r="F43" i="9"/>
  <c r="J25" i="9"/>
  <c r="F16" i="9"/>
  <c r="H17" i="9" s="1"/>
  <c r="I17" i="9" s="1"/>
  <c r="E31" i="9"/>
  <c r="I20" i="9" s="1"/>
  <c r="G54" i="9"/>
  <c r="F42" i="9"/>
  <c r="G42" i="9" s="1"/>
  <c r="F15" i="8"/>
  <c r="J41" i="8"/>
  <c r="J40" i="8"/>
  <c r="F42" i="8"/>
  <c r="J42" i="8" s="1"/>
  <c r="J24" i="8"/>
  <c r="E25" i="8"/>
  <c r="F25" i="8" s="1"/>
  <c r="F26" i="8" s="1"/>
  <c r="J42" i="9" l="1"/>
  <c r="H17" i="8"/>
  <c r="I17" i="8" s="1"/>
  <c r="B31" i="8"/>
  <c r="E31" i="8" s="1"/>
  <c r="I20" i="8" s="1"/>
  <c r="J25" i="8"/>
  <c r="G42" i="8"/>
  <c r="F44" i="8"/>
  <c r="G43" i="9" l="1"/>
  <c r="G44" i="8"/>
  <c r="F43" i="8"/>
  <c r="G43" i="8" s="1"/>
  <c r="I21" i="9" l="1"/>
  <c r="I23" i="9" s="1"/>
  <c r="I44" i="8"/>
  <c r="I21" i="8"/>
  <c r="I23" i="8" s="1"/>
</calcChain>
</file>

<file path=xl/sharedStrings.xml><?xml version="1.0" encoding="utf-8"?>
<sst xmlns="http://schemas.openxmlformats.org/spreadsheetml/2006/main" count="464" uniqueCount="312">
  <si>
    <t>HPC 2023 - Activity Based Costing Mali</t>
  </si>
  <si>
    <t>Commentaires</t>
  </si>
  <si>
    <t>Agriculture pluviale</t>
  </si>
  <si>
    <t>Formation sur les techniques agricoles</t>
  </si>
  <si>
    <t>Maraîchage</t>
  </si>
  <si>
    <t>Elevage</t>
  </si>
  <si>
    <t>Distribution aliments bétail</t>
  </si>
  <si>
    <t>Campagne de vaccination</t>
  </si>
  <si>
    <t>Campagne de vaccination_appui financier</t>
  </si>
  <si>
    <t>Destockage stratégique des animaux</t>
  </si>
  <si>
    <t>Formation technique à la gestion fourragère</t>
  </si>
  <si>
    <t xml:space="preserve">Distribution de semences fourragères </t>
  </si>
  <si>
    <t>Réhabilitation de parcs de vaccination</t>
  </si>
  <si>
    <t>Formation en techniques d'élevage</t>
  </si>
  <si>
    <t>Distribution de kits de volaille</t>
  </si>
  <si>
    <t>Réhabilitation de puits pastoraux</t>
  </si>
  <si>
    <t>Aménagement de couloirs pastoraux</t>
  </si>
  <si>
    <t>Formation des auxiliières d'élevage</t>
  </si>
  <si>
    <t>Dotation en équipements des auxillières d'élevage</t>
  </si>
  <si>
    <t xml:space="preserve">Surveillance épizootique </t>
  </si>
  <si>
    <t>Traitement des maladies animales</t>
  </si>
  <si>
    <t>Aménagement de bourgoutières</t>
  </si>
  <si>
    <t>Dotation en kits pisciculture</t>
  </si>
  <si>
    <t>Activités</t>
  </si>
  <si>
    <t>Contenu du Kit</t>
  </si>
  <si>
    <t>Coût unitaire de l'activité (FCFA)</t>
  </si>
  <si>
    <t>Coût unitaire de l'activité ($US)</t>
  </si>
  <si>
    <t>Min</t>
  </si>
  <si>
    <t>Max</t>
  </si>
  <si>
    <t>Moy</t>
  </si>
  <si>
    <t>Ciblage</t>
  </si>
  <si>
    <t xml:space="preserve">Montant </t>
  </si>
  <si>
    <t>Distribution des pétits équipements agricoles (Houe, Hache, Daba, faucilles, pelle, brouette, rateau…)</t>
  </si>
  <si>
    <t>Distribution de semences améliorées pluviales (Mil, sorgho, Maïs, Niébé...)</t>
  </si>
  <si>
    <t>Cash for work pour les aménagements CES/DRS (cordons, compostage, zaï, demi lune, aménagements de marres, etc.)</t>
  </si>
  <si>
    <t>Construction d'une clôture (1 ha)</t>
  </si>
  <si>
    <t>Réalisation de puits maraîchers (4 puits/ ha)</t>
  </si>
  <si>
    <t>Réalisation d'un forage/ ha</t>
  </si>
  <si>
    <t>Distribution de semences maraîchères (tomates, oignons/ echallottes, carottes, choux, laitue, aubergines, gombo, piment, pomme de terre)</t>
  </si>
  <si>
    <t>Distribution de kits de petits équipements (arrosoires, binettes, pelle, brouette, rateau)</t>
  </si>
  <si>
    <t>Formation sur les itinéraires des cultures maraîchères</t>
  </si>
  <si>
    <t>Formation de la fumure organique et les biopesticides</t>
  </si>
  <si>
    <t>Soutien à l'Agriculture irriguée dans le Delta du Niger - contre saison</t>
  </si>
  <si>
    <t>Distribution de semences améliorées de riz</t>
  </si>
  <si>
    <t>Distribution de motopompes pour l'exhaure de l'eau du fleuve</t>
  </si>
  <si>
    <t>Distribution de kits de caprins (3 femelles, 1 male)</t>
  </si>
  <si>
    <t>Distribution de kits de ovins (4 dont 1 male)</t>
  </si>
  <si>
    <t>Réhabilitation de forages pastoraux</t>
  </si>
  <si>
    <t>Distribution d'alevins</t>
  </si>
  <si>
    <t>Soutien à la commercialisation de produits agricoles</t>
  </si>
  <si>
    <t>Soutien au petit commerce à travers un fond de roulement</t>
  </si>
  <si>
    <t>Catégorie d'aliments</t>
  </si>
  <si>
    <t>Quantité (kg)/jour/personne recommandée par le PAM</t>
  </si>
  <si>
    <t>Panier mensuel recommandé par personne</t>
  </si>
  <si>
    <t>Céréales</t>
  </si>
  <si>
    <t>Légumineuses</t>
  </si>
  <si>
    <t>Huile végétale</t>
  </si>
  <si>
    <t>Sel</t>
  </si>
  <si>
    <t>Coût du panier alimentaire</t>
  </si>
  <si>
    <t>Nombre de menage:</t>
  </si>
  <si>
    <t>Nbre de cycle:</t>
  </si>
  <si>
    <t>USD/XOF</t>
  </si>
  <si>
    <t xml:space="preserve">Denrée </t>
  </si>
  <si>
    <t>Quantité</t>
  </si>
  <si>
    <t>Unité</t>
  </si>
  <si>
    <t>PU ( XOF)</t>
  </si>
  <si>
    <t>Coût du panier mensuel (XOF)</t>
  </si>
  <si>
    <t>Coût pour 3 cycle de distribution (XOF)</t>
  </si>
  <si>
    <t>Céréales ( Riz,Mil)</t>
  </si>
  <si>
    <t>kg</t>
  </si>
  <si>
    <t xml:space="preserve">Coût du panier pour une personne </t>
  </si>
  <si>
    <t xml:space="preserve">Coût du panier pour un menage de 6 personnes </t>
  </si>
  <si>
    <t>Sensi</t>
  </si>
  <si>
    <t>Frais transp</t>
  </si>
  <si>
    <t>Impression Carte &amp; Coupon</t>
  </si>
  <si>
    <t>TOTAL SECAL</t>
  </si>
  <si>
    <t>Items</t>
  </si>
  <si>
    <t xml:space="preserve">Unité </t>
  </si>
  <si>
    <t>Coût pour une distribution ( XOF )</t>
  </si>
  <si>
    <t>Coût pour 3 cycles de distribution ( XOF )</t>
  </si>
  <si>
    <t>Cartes de bénéficiaires</t>
  </si>
  <si>
    <t xml:space="preserve">carte </t>
  </si>
  <si>
    <t>Coupon</t>
  </si>
  <si>
    <t>carnet</t>
  </si>
  <si>
    <t xml:space="preserve">Coût total </t>
  </si>
  <si>
    <t xml:space="preserve">Coût transport des vivres </t>
  </si>
  <si>
    <t xml:space="preserve">Désignation </t>
  </si>
  <si>
    <t>PU(XOF)</t>
  </si>
  <si>
    <t>Intervention</t>
  </si>
  <si>
    <t xml:space="preserve">Sensibilisation sur les bonnes pratiques alimentaires et nutrionnelles </t>
  </si>
  <si>
    <t xml:space="preserve">Desigantion </t>
  </si>
  <si>
    <t>Mois/Fréquence</t>
  </si>
  <si>
    <t>P. Unitaire</t>
  </si>
  <si>
    <t xml:space="preserve">P. Total </t>
  </si>
  <si>
    <t>P.Total en $</t>
  </si>
  <si>
    <t xml:space="preserve">Commentaires/Obsérvations </t>
  </si>
  <si>
    <t>Production boite à image &amp; manuels de message clés</t>
  </si>
  <si>
    <t>On produit les boites à image une seule sur toute la durée du projet</t>
  </si>
  <si>
    <t>Matériels de sensibilisation ( sonorisation , mégaphone , piles , baches, chaises , tables , cordes …)</t>
  </si>
  <si>
    <t xml:space="preserve">Un seul achat des matériels au début du projet </t>
  </si>
  <si>
    <t>Journalier</t>
  </si>
  <si>
    <t>journalier</t>
  </si>
  <si>
    <t>Location de voiture</t>
  </si>
  <si>
    <t>voiture</t>
  </si>
  <si>
    <t>Carburant Voiture (100 litres par voiture)</t>
  </si>
  <si>
    <t>litre</t>
  </si>
  <si>
    <t>Frais traversée et péage</t>
  </si>
  <si>
    <t>Forfait</t>
  </si>
  <si>
    <t xml:space="preserve">Total coût pour une séance de sensib </t>
  </si>
  <si>
    <t xml:space="preserve">Total coût pour 72 séance de sensib </t>
  </si>
  <si>
    <t xml:space="preserve">Ciblage des béneficiaires </t>
  </si>
  <si>
    <t>Questionnaires</t>
  </si>
  <si>
    <t>unité</t>
  </si>
  <si>
    <t>Location voiture</t>
  </si>
  <si>
    <t>Journaliers enquêteurs (5 enquêteurs sur 7 jours pour enquête)</t>
  </si>
  <si>
    <t>Formation journaliers enquêteurs (1 jour de formation pour 5 enquêteurs)</t>
  </si>
  <si>
    <t>Frais de traversée &amp; péage</t>
  </si>
  <si>
    <t>Total coût pour une enquête de ciblage</t>
  </si>
  <si>
    <t>Prix /HH</t>
  </si>
  <si>
    <t>Coût de la prestation</t>
  </si>
  <si>
    <t>Frais de la prestation distrib cash</t>
  </si>
  <si>
    <t xml:space="preserve">Coût du panier par ménage/mois </t>
  </si>
  <si>
    <t>Nbre de cycle de distrib:</t>
  </si>
  <si>
    <t>Coût total pour 1 distribution de cash(XOF)</t>
  </si>
  <si>
    <t>Coût total pour 1 cycles d'assistance alimenataire (XOF)</t>
  </si>
  <si>
    <t>Frais de transport des vivres pour un kit</t>
  </si>
  <si>
    <t>Cycle</t>
  </si>
  <si>
    <t>Coût pour 1 cycle de distribution (XOF)</t>
  </si>
  <si>
    <t>Coût pour 1 cycles de distribution ( XOF )</t>
  </si>
  <si>
    <t>Construction bassin piscicole de 400 m2</t>
  </si>
  <si>
    <t>Balance 50 kg</t>
  </si>
  <si>
    <t>Epuisette</t>
  </si>
  <si>
    <t>Bassine  en plastique</t>
  </si>
  <si>
    <t>Epervier</t>
  </si>
  <si>
    <t>Thermometre</t>
  </si>
  <si>
    <t>Phmétre</t>
  </si>
  <si>
    <t>Alevins de clarias ou silure</t>
  </si>
  <si>
    <t>Alevins de Tilapia</t>
  </si>
  <si>
    <t>Distribution aliment poisson</t>
  </si>
  <si>
    <t xml:space="preserve">Aliment poisson </t>
  </si>
  <si>
    <t>Vente des céreales</t>
  </si>
  <si>
    <t>Marchandise</t>
  </si>
  <si>
    <t>Embouche</t>
  </si>
  <si>
    <t>le dévis à été fait par modèle entreprise</t>
  </si>
  <si>
    <t>Senne de 27 mm:30m*2m ou 10mm:20m:1.5m</t>
  </si>
  <si>
    <t>Balance pour le pesage des poisson</t>
  </si>
  <si>
    <t xml:space="preserve">Epuissette pour la capture des poisson </t>
  </si>
  <si>
    <t>Bassine pour la capture des poissons</t>
  </si>
  <si>
    <t>capture et pêche de contrôle des poissons</t>
  </si>
  <si>
    <t>Oxyteracycline 100%</t>
  </si>
  <si>
    <t xml:space="preserve">Antibiotiaue </t>
  </si>
  <si>
    <t>mersure la temperature de l'eau</t>
  </si>
  <si>
    <t xml:space="preserve"> contrôle le pH de l'eau</t>
  </si>
  <si>
    <t>alevins de clarias de 5-10 g</t>
  </si>
  <si>
    <t>alevins de tilapia de 5-10 g</t>
  </si>
  <si>
    <t>Aliment industriel flottant des sacs de 20 Kg de demarge à 4mm</t>
  </si>
  <si>
    <t>Distribution de cash</t>
  </si>
  <si>
    <t>Distribution de coupons</t>
  </si>
  <si>
    <t>Impression Cartes de bénéficiaires</t>
  </si>
  <si>
    <t>Impression et confection de cartes &amp; coupons</t>
  </si>
  <si>
    <t>Montant de la prestation</t>
  </si>
  <si>
    <t>Montant du transfert</t>
  </si>
  <si>
    <t>Distribution en nature</t>
  </si>
  <si>
    <t>Coût des denrées de base pour couvrir 2100 kcal</t>
  </si>
  <si>
    <t>Coûts logistiques</t>
  </si>
  <si>
    <t>Soutien à l'embouche de petits ruminants (fond de roulement)</t>
  </si>
  <si>
    <t>Location voiture/ jour</t>
  </si>
  <si>
    <t>Questionnaires (300 unités)</t>
  </si>
  <si>
    <t>Frais de traversée par pinasse</t>
  </si>
  <si>
    <t>Frais de traversée par Bac</t>
  </si>
  <si>
    <t>Impression Coupon/ carnet de 25 feuilles</t>
  </si>
  <si>
    <t>Coût du prestation transfert/ bénéficiaire</t>
  </si>
  <si>
    <t>Total/ personnes/ mois</t>
  </si>
  <si>
    <t>Frais de transport des vivres pour un kit/ ménage</t>
  </si>
  <si>
    <t xml:space="preserve">Coût de 5 journaliers pour la distribution </t>
  </si>
  <si>
    <t>Aménagement site, préparation kits, etc.)</t>
  </si>
  <si>
    <t>Senne de 20 m</t>
  </si>
  <si>
    <t>Appui aux AGR collectifs</t>
  </si>
  <si>
    <t>Appui aux AGRs individuels</t>
  </si>
  <si>
    <t xml:space="preserve">Semence de Niébé </t>
  </si>
  <si>
    <t>Semence de Sorgho</t>
  </si>
  <si>
    <t>Semence Maïs</t>
  </si>
  <si>
    <t xml:space="preserve">Houe </t>
  </si>
  <si>
    <t xml:space="preserve">Daba </t>
  </si>
  <si>
    <t>Brouettes</t>
  </si>
  <si>
    <t>Rateau</t>
  </si>
  <si>
    <t>Pelle</t>
  </si>
  <si>
    <t>Hache</t>
  </si>
  <si>
    <t>Formation sur les bonnes pratiques paysannes (honoraire formateur)/J</t>
  </si>
  <si>
    <t>Clôture d'un ha</t>
  </si>
  <si>
    <t xml:space="preserve">Forage </t>
  </si>
  <si>
    <t>Gombo  Kirikou 1Kg</t>
  </si>
  <si>
    <t>Semence pomme de terre importée 1Sac</t>
  </si>
  <si>
    <t>Semence Echalote 1kg</t>
  </si>
  <si>
    <t>Choux 100g</t>
  </si>
  <si>
    <t>Laitu 100g</t>
  </si>
  <si>
    <t>Aubergine 100g</t>
  </si>
  <si>
    <t>Arrosoir 1</t>
  </si>
  <si>
    <t>Brouette1</t>
  </si>
  <si>
    <t>Binettes 1</t>
  </si>
  <si>
    <t>Un puits</t>
  </si>
  <si>
    <t>Semence Tomate 100g</t>
  </si>
  <si>
    <t>Semence oignon viollet de galmi  1kg</t>
  </si>
  <si>
    <t>Motopompe marque Yamaha 1</t>
  </si>
  <si>
    <t xml:space="preserve">1kg </t>
  </si>
  <si>
    <t>Faucilles</t>
  </si>
  <si>
    <t>Cout de main d'oeuvre par jour</t>
  </si>
  <si>
    <t>Formation sur les itinéraires pratiques paysannes (honoraire formateur)</t>
  </si>
  <si>
    <t>Formation en production de fumure organique&amp; biopesticide</t>
  </si>
  <si>
    <t>Montant du coupon par personne</t>
  </si>
  <si>
    <t>Soutien à la pisciculture</t>
  </si>
  <si>
    <t>Activités préalables aux distributions</t>
  </si>
  <si>
    <t>Assistance alimentaire en coupons - cash - nature</t>
  </si>
  <si>
    <t>Appui à la pisciculture</t>
  </si>
  <si>
    <t>Soutien à l'agriculture pluviale, maraîchère et irriguée</t>
  </si>
  <si>
    <t>Appui aux activités génératrices de revenus</t>
  </si>
  <si>
    <t>Appui à l'élevage</t>
  </si>
  <si>
    <t>Semence de Mil</t>
  </si>
  <si>
    <t>Tourteau de coton 1 sac de 50 kg</t>
  </si>
  <si>
    <t>Son industriel  1 sac de 50 kg</t>
  </si>
  <si>
    <t>Bloc nutritionnel fabriqué 1 kg</t>
  </si>
  <si>
    <t>Sel gemme 1 kg</t>
  </si>
  <si>
    <t>Melasse 1 bidon de 20 litres</t>
  </si>
  <si>
    <t>Vaccin péri T1  Flacon de 50 doses</t>
  </si>
  <si>
    <t>Vaccin Pastobov  Flacon de 50 doses</t>
  </si>
  <si>
    <t>Vaccin Clostrivac flacon de 50 doses</t>
  </si>
  <si>
    <t>Vaccin Dermapox flacon de 100 doses</t>
  </si>
  <si>
    <t>Vaccin ovipeste flacon de 50 doses</t>
  </si>
  <si>
    <t>Vaccin pastovin flacon de 25 doses</t>
  </si>
  <si>
    <t xml:space="preserve">Vaccin de la Fièvre aphteuse flacon de 150 doses </t>
  </si>
  <si>
    <t>Appui/ dose injectée</t>
  </si>
  <si>
    <t>Prêts aux marchands de bétail (prêt /marchand)</t>
  </si>
  <si>
    <t>Subventions aux marchands sur les frais de transport des animaux achetés</t>
  </si>
  <si>
    <t>Il s'agit de subventionner le prix du transport des animaux achetés par le marchand  entre 25 % et  50%</t>
  </si>
  <si>
    <t>Réhabilitation dépôt vétérinaire du marché à bétail</t>
  </si>
  <si>
    <t xml:space="preserve">Réhabilitation du quai d'embarquement </t>
  </si>
  <si>
    <t>Contruction du marché à bétail</t>
  </si>
  <si>
    <t>Formation en santé animale (honoraire formateur/j)</t>
  </si>
  <si>
    <t>Formation en alimentation animale (honoraire formateur/j)</t>
  </si>
  <si>
    <t xml:space="preserve">Formation sur la conduite de la reproduction (honoraire du formateur/j) </t>
  </si>
  <si>
    <t xml:space="preserve">La formation inclura les moyens de stockage et de valorisation </t>
  </si>
  <si>
    <t>Cram cram 1 kg de semence</t>
  </si>
  <si>
    <t>Zornia</t>
  </si>
  <si>
    <t>Andropogon 1 kg de semence</t>
  </si>
  <si>
    <t>Clôture en ciment (3 m de mur)</t>
  </si>
  <si>
    <t xml:space="preserve">Porte du couloir </t>
  </si>
  <si>
    <t>Un bouc reproducteur</t>
  </si>
  <si>
    <t>Une chèvre reproductrice</t>
  </si>
  <si>
    <t>Prestation vétérinaire avant distribution/animal</t>
  </si>
  <si>
    <t>Vaccination, deparasitage</t>
  </si>
  <si>
    <t>Aliment demarrage pour les 4 têtes/mois</t>
  </si>
  <si>
    <t xml:space="preserve">Mangeoire </t>
  </si>
  <si>
    <t>Abreuvoir</t>
  </si>
  <si>
    <t>Le prestataire peut être pour toute une commune</t>
  </si>
  <si>
    <t>Bélier reproducteur</t>
  </si>
  <si>
    <t>Brebis reproductrice</t>
  </si>
  <si>
    <t>Ayant suivi le programme prophylatique (6 à 7 mois d'age)</t>
  </si>
  <si>
    <t>Aliment demarrage des 9 sujets/mois</t>
  </si>
  <si>
    <t>Antibiotique 1 sachet/lot</t>
  </si>
  <si>
    <t>olivitasol 3 sachets de 15g /lot</t>
  </si>
  <si>
    <t>Prestataire  sanitaire/mois)</t>
  </si>
  <si>
    <t>Dispositif d'exhaure (poulie + corde + godet + support poulie + animal de trait)</t>
  </si>
  <si>
    <t xml:space="preserve">Buse en béton </t>
  </si>
  <si>
    <t>Abreuvoir béton (1 mètre cube)</t>
  </si>
  <si>
    <t>Système de pompage</t>
  </si>
  <si>
    <t>Panneau solaire</t>
  </si>
  <si>
    <t>Interrupteur</t>
  </si>
  <si>
    <t>Flotteur trop plein</t>
  </si>
  <si>
    <t xml:space="preserve">Parafoudre </t>
  </si>
  <si>
    <t xml:space="preserve">Cuve reservoir métallique </t>
  </si>
  <si>
    <t>Etude de diagnostic et concertation communautaire</t>
  </si>
  <si>
    <t>Balisage / km de couloir</t>
  </si>
  <si>
    <t>Formation de 3 mois en CFAP (coût/auxilière/mois)</t>
  </si>
  <si>
    <t>Modules de formation: Anatomie animale,Parasitologie, maladies contagieuses, prophylaxie animale, alimentation animale, gestion d'élevage)</t>
  </si>
  <si>
    <t>Allocation /auxilière/mois</t>
  </si>
  <si>
    <t>Restauration /auxilière/jour</t>
  </si>
  <si>
    <t xml:space="preserve">Moto Haojoue </t>
  </si>
  <si>
    <t>Forfait carburant/mois/auxilière</t>
  </si>
  <si>
    <t>Formation au niveau des secteurs vétérinaires sur la surveillance épizootique (honoraire consultant/jour)</t>
  </si>
  <si>
    <t>Forfait pour le carburant/ sortie de surveillance</t>
  </si>
  <si>
    <t xml:space="preserve">Forfait pour la trousse de prélèvement </t>
  </si>
  <si>
    <t>Les tubes, boites avec couvercle, seringues, glacière…</t>
  </si>
  <si>
    <t>Analyse/échantillon</t>
  </si>
  <si>
    <t>Forfait communication/mois/poste vétérinaire</t>
  </si>
  <si>
    <t>Forfait carburant aux titulaires de mandat sanitaire/mois</t>
  </si>
  <si>
    <t xml:space="preserve">Mise en place de dépôt vétérinaire équipé </t>
  </si>
  <si>
    <t>Sensibilisation sur les maladies animales (coût/séance)</t>
  </si>
  <si>
    <t>Etude de diagnostic ; d'amenagement et de concertation communautaire</t>
  </si>
  <si>
    <t xml:space="preserve">Production de bourgou/ hectare </t>
  </si>
  <si>
    <t>La semence et les intrants</t>
  </si>
  <si>
    <t>Réhabilitation source d'eau avec abreuvoir du marché à bétail (puits ou forage)</t>
  </si>
  <si>
    <t>Réhabilitation du hangar de négociation du marché à bétail</t>
  </si>
  <si>
    <t>Réhabilitation du magasin de stockage d'aliment bétail</t>
  </si>
  <si>
    <t>Toutes ces activités peuvent être classées dans la réhabilitation du marché à bétail</t>
  </si>
  <si>
    <t>Distribution de viande fraiche de bétail (1 kg de viande)</t>
  </si>
  <si>
    <t>Formation sur les ressources fourragères (honoraire formateur/j)</t>
  </si>
  <si>
    <t>Formation sur les cultures fourragères (honoraire formateur/j)</t>
  </si>
  <si>
    <t>Prestataire sanitaire/mois</t>
  </si>
  <si>
    <t>Aliment demarrage pour les 5 têtes/mois</t>
  </si>
  <si>
    <t>Margelle du puits</t>
  </si>
  <si>
    <t>Exple de dimension : 2,5 m x 1 m x 0,4 m</t>
  </si>
  <si>
    <t>Forfait entretien</t>
  </si>
  <si>
    <t>Etude mener par les services techniques de l'élevage et qui organisent les concertations commuanutaire</t>
  </si>
  <si>
    <t>Couloir de vaccination (1 barre en tube rond de fer de 6 m)</t>
  </si>
  <si>
    <t xml:space="preserve">Poule 3/4 wassachiè  adulte </t>
  </si>
  <si>
    <t>Coq 3/4 wassachiè adulte</t>
  </si>
  <si>
    <t>Forfait pour la trousse de soin/ auxilière</t>
  </si>
  <si>
    <t>Equipements de base</t>
  </si>
  <si>
    <t>Véhicule (4x4) pour la surveillance</t>
  </si>
  <si>
    <t>En plénière ; à la radio ou à la télé</t>
  </si>
  <si>
    <t>Animaux d'au moins 12 mois</t>
  </si>
  <si>
    <t>La DNPIA via les DRPIA dispose des prerogatives et des informations de base pour mener l'etude et mener les concertations avec les parties prenantes : les réprésentants étatiques niveau région, cercle, commune et les communautés concernées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</si>
</sst>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3" formatCode="_-* #,##0.00_-;\-* #,##0.00_-;_-* &quot;-&quot;??_-;_-@_-"/>
    <numFmt numFmtId="164" formatCode="_-* #,##0.00\ _€_-;\-* #,##0.00\ _€_-;_-* &quot;-&quot;??\ _€_-;_-@_-"/>
    <numFmt numFmtId="165" formatCode="_-* #,##0\ _C_F_A_-;\-* #,##0\ _C_F_A_-;_-* &quot;-&quot;\ _C_F_A_-;_-@_-"/>
    <numFmt numFmtId="166" formatCode="#,##0\ [$XOF]"/>
    <numFmt numFmtId="167" formatCode="_-[$$-409]* #,##0.00_ ;_-[$$-409]* \-#,##0.00\ ;_-[$$-409]* &quot;-&quot;??_ ;_-@_ "/>
    <numFmt numFmtId="168" formatCode="_-[$$-409]* #,##0_ ;_-[$$-409]* \-#,##0\ ;_-[$$-409]* &quot;-&quot;??_ ;_-@_ "/>
    <numFmt numFmtId="169" formatCode="_-* #,##0\ [$CFA-340C]_-;\-* #,##0\ [$CFA-340C]_-;_-* &quot;-&quot;??\ [$CFA-340C]_-;_-@"/>
    <numFmt numFmtId="170" formatCode="#,##0.00\ [$CAD]"/>
    <numFmt numFmtId="171" formatCode="_-* #,##0_-;\-* #,##0_-;_-* &quot;-&quot;??_-;_-@_-"/>
    <numFmt numFmtId="173" formatCode="_-* #,##0.0_-;\-* #,##0.0_-;_-* &quot;-&quot;??_-;_-@_-"/>
  </numFmts>
  <fonts count="47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Arial Narrow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&quot;Calibri Light&quot;"/>
    </font>
    <font>
      <sz val="10"/>
      <color theme="1"/>
      <name val="Calibri"/>
      <family val="2"/>
    </font>
    <font>
      <sz val="10"/>
      <name val="Calibri"/>
      <family val="2"/>
    </font>
    <font>
      <sz val="8"/>
      <color theme="1"/>
      <name val="Calibri"/>
      <family val="2"/>
    </font>
    <font>
      <b/>
      <sz val="9"/>
      <name val="Arial Narrow"/>
      <family val="2"/>
    </font>
    <font>
      <b/>
      <sz val="10"/>
      <color theme="1"/>
      <name val="&quot;Calibri Light&quot;"/>
    </font>
    <font>
      <i/>
      <sz val="11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7" tint="0.79998168889431442"/>
      <name val="Calibri"/>
      <family val="2"/>
    </font>
    <font>
      <i/>
      <sz val="11"/>
      <color theme="7" tint="0.79998168889431442"/>
      <name val="Calibri"/>
      <family val="2"/>
    </font>
    <font>
      <sz val="11"/>
      <name val="Calibri"/>
      <scheme val="minor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name val="&quot;Calibri Light&quot;"/>
    </font>
  </fonts>
  <fills count="23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rgb="FFFFFF00"/>
        <bgColor rgb="FFFFFF00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57070"/>
        <bgColor rgb="FF757070"/>
      </patternFill>
    </fill>
    <fill>
      <patternFill patternType="solid">
        <fgColor rgb="FF0070C0"/>
        <bgColor rgb="FF0070C0"/>
      </patternFill>
    </fill>
    <fill>
      <patternFill patternType="solid">
        <fgColor rgb="FFFFC000"/>
        <bgColor rgb="FFFFC000"/>
      </patternFill>
    </fill>
    <fill>
      <patternFill patternType="solid">
        <fgColor rgb="FFBDD6EE"/>
        <bgColor rgb="FFBDD6EE"/>
      </patternFill>
    </fill>
    <fill>
      <patternFill patternType="solid">
        <fgColor rgb="FFFFD965"/>
        <bgColor rgb="FFFFD965"/>
      </patternFill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6">
    <xf numFmtId="0" fontId="0" fillId="0" borderId="0"/>
    <xf numFmtId="0" fontId="11" fillId="0" borderId="3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9" fontId="39" fillId="0" borderId="0" applyFont="0" applyFill="0" applyBorder="0" applyAlignment="0" applyProtection="0"/>
    <xf numFmtId="43" fontId="1" fillId="0" borderId="3" applyFont="0" applyFill="0" applyBorder="0" applyAlignment="0" applyProtection="0"/>
  </cellStyleXfs>
  <cellXfs count="292">
    <xf numFmtId="0" fontId="0" fillId="0" borderId="0" xfId="0" applyFont="1" applyAlignment="1"/>
    <xf numFmtId="0" fontId="0" fillId="0" borderId="0" xfId="0" applyFont="1" applyAlignment="1"/>
    <xf numFmtId="0" fontId="0" fillId="0" borderId="0" xfId="0"/>
    <xf numFmtId="0" fontId="10" fillId="0" borderId="0" xfId="0" applyFont="1" applyAlignment="1"/>
    <xf numFmtId="0" fontId="15" fillId="4" borderId="13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43" fontId="0" fillId="0" borderId="0" xfId="2" applyFont="1"/>
    <xf numFmtId="0" fontId="16" fillId="0" borderId="16" xfId="0" applyFont="1" applyBorder="1" applyAlignment="1">
      <alignment horizontal="left" vertical="center"/>
    </xf>
    <xf numFmtId="0" fontId="17" fillId="0" borderId="0" xfId="0" applyFont="1"/>
    <xf numFmtId="0" fontId="16" fillId="0" borderId="18" xfId="0" applyFont="1" applyBorder="1" applyAlignment="1">
      <alignment horizontal="left" vertical="center"/>
    </xf>
    <xf numFmtId="0" fontId="17" fillId="0" borderId="19" xfId="0" applyFont="1" applyBorder="1"/>
    <xf numFmtId="0" fontId="16" fillId="0" borderId="0" xfId="0" applyFont="1" applyAlignment="1">
      <alignment horizontal="left" vertical="center"/>
    </xf>
    <xf numFmtId="0" fontId="18" fillId="0" borderId="0" xfId="0" applyFont="1"/>
    <xf numFmtId="43" fontId="18" fillId="0" borderId="0" xfId="2" applyFont="1"/>
    <xf numFmtId="0" fontId="14" fillId="5" borderId="0" xfId="0" applyFont="1" applyFill="1" applyAlignment="1">
      <alignment horizontal="left"/>
    </xf>
    <xf numFmtId="0" fontId="14" fillId="0" borderId="0" xfId="0" applyFont="1"/>
    <xf numFmtId="43" fontId="14" fillId="5" borderId="0" xfId="0" applyNumberFormat="1" applyFont="1" applyFill="1"/>
    <xf numFmtId="0" fontId="15" fillId="6" borderId="21" xfId="0" applyFont="1" applyFill="1" applyBorder="1" applyAlignment="1">
      <alignment horizontal="center" vertical="center" wrapText="1"/>
    </xf>
    <xf numFmtId="0" fontId="15" fillId="6" borderId="22" xfId="0" applyFont="1" applyFill="1" applyBorder="1" applyAlignment="1">
      <alignment horizontal="center" vertical="center" wrapText="1"/>
    </xf>
    <xf numFmtId="0" fontId="15" fillId="6" borderId="22" xfId="0" applyFont="1" applyFill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/>
    </xf>
    <xf numFmtId="0" fontId="19" fillId="0" borderId="0" xfId="0" applyFont="1"/>
    <xf numFmtId="41" fontId="19" fillId="0" borderId="0" xfId="3" applyFont="1"/>
    <xf numFmtId="41" fontId="20" fillId="3" borderId="3" xfId="3" applyFont="1" applyFill="1" applyBorder="1"/>
    <xf numFmtId="41" fontId="20" fillId="8" borderId="3" xfId="3" applyFont="1" applyFill="1" applyBorder="1"/>
    <xf numFmtId="0" fontId="0" fillId="0" borderId="0" xfId="0" applyFont="1"/>
    <xf numFmtId="41" fontId="20" fillId="9" borderId="3" xfId="3" applyFont="1" applyFill="1" applyBorder="1"/>
    <xf numFmtId="166" fontId="15" fillId="7" borderId="24" xfId="0" applyNumberFormat="1" applyFont="1" applyFill="1" applyBorder="1" applyAlignment="1">
      <alignment horizontal="center" vertical="center" wrapText="1"/>
    </xf>
    <xf numFmtId="167" fontId="21" fillId="10" borderId="25" xfId="0" applyNumberFormat="1" applyFont="1" applyFill="1" applyBorder="1"/>
    <xf numFmtId="164" fontId="14" fillId="0" borderId="0" xfId="0" applyNumberFormat="1" applyFont="1"/>
    <xf numFmtId="0" fontId="0" fillId="0" borderId="26" xfId="0" applyFont="1" applyBorder="1"/>
    <xf numFmtId="167" fontId="21" fillId="10" borderId="27" xfId="0" applyNumberFormat="1" applyFont="1" applyFill="1" applyBorder="1"/>
    <xf numFmtId="165" fontId="0" fillId="0" borderId="0" xfId="0" applyNumberFormat="1" applyFont="1" applyAlignment="1"/>
    <xf numFmtId="0" fontId="20" fillId="0" borderId="0" xfId="0" applyFont="1"/>
    <xf numFmtId="0" fontId="22" fillId="0" borderId="0" xfId="0" applyFont="1"/>
    <xf numFmtId="0" fontId="14" fillId="0" borderId="26" xfId="0" applyFont="1" applyBorder="1" applyAlignment="1"/>
    <xf numFmtId="167" fontId="23" fillId="0" borderId="27" xfId="0" applyNumberFormat="1" applyFont="1" applyBorder="1" applyAlignment="1"/>
    <xf numFmtId="0" fontId="0" fillId="0" borderId="28" xfId="0" applyFont="1" applyBorder="1" applyAlignment="1"/>
    <xf numFmtId="0" fontId="0" fillId="0" borderId="29" xfId="0" applyFont="1" applyBorder="1" applyAlignment="1"/>
    <xf numFmtId="164" fontId="0" fillId="0" borderId="0" xfId="0" applyNumberFormat="1"/>
    <xf numFmtId="0" fontId="15" fillId="0" borderId="0" xfId="0" applyFont="1" applyAlignment="1">
      <alignment horizontal="center" vertical="center" wrapText="1"/>
    </xf>
    <xf numFmtId="0" fontId="17" fillId="11" borderId="3" xfId="0" applyFont="1" applyFill="1" applyBorder="1" applyAlignment="1">
      <alignment vertical="center" wrapText="1"/>
    </xf>
    <xf numFmtId="0" fontId="17" fillId="3" borderId="3" xfId="0" applyFont="1" applyFill="1" applyBorder="1"/>
    <xf numFmtId="0" fontId="17" fillId="11" borderId="3" xfId="0" applyFont="1" applyFill="1" applyBorder="1" applyAlignment="1">
      <alignment horizontal="left" vertical="center"/>
    </xf>
    <xf numFmtId="0" fontId="21" fillId="8" borderId="3" xfId="0" applyFont="1" applyFill="1" applyBorder="1"/>
    <xf numFmtId="0" fontId="14" fillId="0" borderId="0" xfId="0" applyFont="1" applyAlignment="1"/>
    <xf numFmtId="165" fontId="0" fillId="5" borderId="0" xfId="0" applyNumberFormat="1" applyFont="1" applyFill="1" applyAlignment="1"/>
    <xf numFmtId="0" fontId="0" fillId="0" borderId="0" xfId="0" applyFont="1" applyAlignment="1">
      <alignment horizontal="center"/>
    </xf>
    <xf numFmtId="0" fontId="0" fillId="5" borderId="0" xfId="0" applyFont="1" applyFill="1" applyAlignment="1"/>
    <xf numFmtId="43" fontId="14" fillId="0" borderId="0" xfId="2" applyFont="1" applyAlignment="1"/>
    <xf numFmtId="166" fontId="0" fillId="0" borderId="0" xfId="0" applyNumberFormat="1" applyFont="1" applyAlignment="1">
      <alignment horizontal="right"/>
    </xf>
    <xf numFmtId="0" fontId="9" fillId="12" borderId="0" xfId="0" applyFont="1" applyFill="1" applyAlignment="1"/>
    <xf numFmtId="0" fontId="9" fillId="12" borderId="0" xfId="0" applyFont="1" applyFill="1"/>
    <xf numFmtId="168" fontId="0" fillId="12" borderId="0" xfId="0" applyNumberFormat="1" applyFont="1" applyFill="1" applyAlignment="1">
      <alignment horizontal="right"/>
    </xf>
    <xf numFmtId="0" fontId="24" fillId="11" borderId="1" xfId="0" applyFont="1" applyFill="1" applyBorder="1" applyAlignment="1">
      <alignment vertical="center"/>
    </xf>
    <xf numFmtId="0" fontId="24" fillId="11" borderId="1" xfId="0" applyFont="1" applyFill="1" applyBorder="1" applyAlignment="1">
      <alignment horizontal="left" vertical="center"/>
    </xf>
    <xf numFmtId="3" fontId="24" fillId="11" borderId="1" xfId="0" applyNumberFormat="1" applyFont="1" applyFill="1" applyBorder="1" applyAlignment="1">
      <alignment horizontal="left" vertical="center" wrapText="1"/>
    </xf>
    <xf numFmtId="169" fontId="24" fillId="11" borderId="1" xfId="0" applyNumberFormat="1" applyFont="1" applyFill="1" applyBorder="1" applyAlignment="1">
      <alignment horizontal="left" vertical="center" wrapText="1"/>
    </xf>
    <xf numFmtId="170" fontId="24" fillId="11" borderId="1" xfId="0" applyNumberFormat="1" applyFont="1" applyFill="1" applyBorder="1" applyAlignment="1">
      <alignment horizontal="left" vertical="center" wrapText="1"/>
    </xf>
    <xf numFmtId="3" fontId="24" fillId="11" borderId="1" xfId="0" applyNumberFormat="1" applyFont="1" applyFill="1" applyBorder="1" applyAlignment="1">
      <alignment horizontal="center" vertical="center" wrapText="1"/>
    </xf>
    <xf numFmtId="0" fontId="25" fillId="13" borderId="1" xfId="0" applyFont="1" applyFill="1" applyBorder="1" applyAlignment="1">
      <alignment wrapText="1"/>
    </xf>
    <xf numFmtId="0" fontId="24" fillId="14" borderId="1" xfId="0" applyFont="1" applyFill="1" applyBorder="1" applyAlignment="1">
      <alignment horizontal="left" wrapText="1"/>
    </xf>
    <xf numFmtId="0" fontId="26" fillId="13" borderId="1" xfId="0" applyFont="1" applyFill="1" applyBorder="1" applyAlignment="1">
      <alignment horizontal="center" wrapText="1"/>
    </xf>
    <xf numFmtId="0" fontId="25" fillId="13" borderId="1" xfId="0" applyFont="1" applyFill="1" applyBorder="1" applyAlignment="1">
      <alignment horizontal="center" wrapText="1"/>
    </xf>
    <xf numFmtId="166" fontId="27" fillId="0" borderId="1" xfId="0" applyNumberFormat="1" applyFont="1" applyBorder="1" applyAlignment="1">
      <alignment wrapText="1"/>
    </xf>
    <xf numFmtId="168" fontId="27" fillId="0" borderId="1" xfId="0" applyNumberFormat="1" applyFont="1" applyBorder="1" applyAlignment="1">
      <alignment wrapText="1"/>
    </xf>
    <xf numFmtId="166" fontId="0" fillId="0" borderId="0" xfId="0" applyNumberFormat="1"/>
    <xf numFmtId="0" fontId="25" fillId="13" borderId="8" xfId="0" applyFont="1" applyFill="1" applyBorder="1" applyAlignment="1">
      <alignment wrapText="1"/>
    </xf>
    <xf numFmtId="0" fontId="26" fillId="13" borderId="8" xfId="0" applyFont="1" applyFill="1" applyBorder="1" applyAlignment="1">
      <alignment horizontal="center" wrapText="1"/>
    </xf>
    <xf numFmtId="0" fontId="26" fillId="13" borderId="8" xfId="0" applyFont="1" applyFill="1" applyBorder="1" applyAlignment="1">
      <alignment wrapText="1"/>
    </xf>
    <xf numFmtId="0" fontId="25" fillId="0" borderId="8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25" fillId="13" borderId="8" xfId="0" applyFont="1" applyFill="1" applyBorder="1" applyAlignment="1">
      <alignment horizontal="center" wrapText="1"/>
    </xf>
    <xf numFmtId="166" fontId="24" fillId="0" borderId="1" xfId="0" applyNumberFormat="1" applyFont="1" applyBorder="1"/>
    <xf numFmtId="168" fontId="24" fillId="0" borderId="1" xfId="0" applyNumberFormat="1" applyFont="1" applyBorder="1"/>
    <xf numFmtId="0" fontId="0" fillId="15" borderId="1" xfId="0" applyFont="1" applyFill="1" applyBorder="1"/>
    <xf numFmtId="0" fontId="0" fillId="15" borderId="0" xfId="0" applyNumberFormat="1" applyFont="1" applyFill="1" applyAlignment="1"/>
    <xf numFmtId="168" fontId="0" fillId="0" borderId="0" xfId="0" applyNumberFormat="1" applyFont="1" applyAlignment="1"/>
    <xf numFmtId="0" fontId="26" fillId="13" borderId="1" xfId="0" applyFont="1" applyFill="1" applyBorder="1" applyAlignment="1"/>
    <xf numFmtId="0" fontId="24" fillId="14" borderId="1" xfId="0" applyFont="1" applyFill="1" applyBorder="1" applyAlignment="1">
      <alignment horizontal="left"/>
    </xf>
    <xf numFmtId="0" fontId="26" fillId="13" borderId="1" xfId="0" applyFont="1" applyFill="1" applyBorder="1" applyAlignment="1">
      <alignment horizontal="center"/>
    </xf>
    <xf numFmtId="166" fontId="27" fillId="0" borderId="1" xfId="0" applyNumberFormat="1" applyFont="1" applyBorder="1"/>
    <xf numFmtId="168" fontId="27" fillId="0" borderId="1" xfId="0" applyNumberFormat="1" applyFont="1" applyBorder="1"/>
    <xf numFmtId="0" fontId="29" fillId="0" borderId="1" xfId="0" applyFont="1" applyBorder="1" applyAlignment="1"/>
    <xf numFmtId="0" fontId="26" fillId="13" borderId="8" xfId="0" applyFont="1" applyFill="1" applyBorder="1" applyAlignment="1"/>
    <xf numFmtId="0" fontId="26" fillId="13" borderId="8" xfId="0" applyFont="1" applyFill="1" applyBorder="1" applyAlignment="1">
      <alignment horizontal="center"/>
    </xf>
    <xf numFmtId="0" fontId="25" fillId="13" borderId="8" xfId="0" applyFont="1" applyFill="1" applyBorder="1" applyAlignment="1">
      <alignment horizontal="center"/>
    </xf>
    <xf numFmtId="0" fontId="0" fillId="0" borderId="1" xfId="0" applyFont="1" applyBorder="1"/>
    <xf numFmtId="0" fontId="25" fillId="0" borderId="8" xfId="0" applyFont="1" applyBorder="1" applyAlignment="1">
      <alignment horizontal="center"/>
    </xf>
    <xf numFmtId="167" fontId="0" fillId="0" borderId="0" xfId="0" applyNumberFormat="1" applyFont="1" applyAlignment="1"/>
    <xf numFmtId="41" fontId="20" fillId="0" borderId="3" xfId="3" applyFont="1" applyFill="1" applyBorder="1"/>
    <xf numFmtId="0" fontId="16" fillId="0" borderId="3" xfId="0" applyFont="1" applyFill="1" applyBorder="1" applyAlignment="1">
      <alignment horizontal="left" vertical="center"/>
    </xf>
    <xf numFmtId="0" fontId="0" fillId="0" borderId="3" xfId="0" applyFont="1" applyFill="1" applyBorder="1"/>
    <xf numFmtId="0" fontId="0" fillId="0" borderId="3" xfId="0" applyFont="1" applyFill="1" applyBorder="1" applyAlignment="1"/>
    <xf numFmtId="165" fontId="0" fillId="0" borderId="3" xfId="0" applyNumberFormat="1" applyFont="1" applyFill="1" applyBorder="1" applyAlignment="1"/>
    <xf numFmtId="164" fontId="0" fillId="0" borderId="3" xfId="0" applyNumberFormat="1" applyFont="1" applyFill="1" applyBorder="1" applyAlignment="1"/>
    <xf numFmtId="9" fontId="0" fillId="16" borderId="0" xfId="0" applyNumberFormat="1" applyFill="1"/>
    <xf numFmtId="0" fontId="14" fillId="16" borderId="0" xfId="0" applyFont="1" applyFill="1"/>
    <xf numFmtId="0" fontId="14" fillId="16" borderId="0" xfId="0" applyFont="1" applyFill="1" applyAlignment="1">
      <alignment horizontal="left"/>
    </xf>
    <xf numFmtId="0" fontId="0" fillId="0" borderId="26" xfId="0" applyFont="1" applyBorder="1" applyAlignment="1"/>
    <xf numFmtId="0" fontId="0" fillId="0" borderId="27" xfId="0" applyFont="1" applyBorder="1" applyAlignment="1"/>
    <xf numFmtId="0" fontId="30" fillId="17" borderId="9" xfId="0" applyFont="1" applyFill="1" applyBorder="1" applyAlignment="1">
      <alignment horizontal="center" vertical="center" wrapText="1"/>
    </xf>
    <xf numFmtId="167" fontId="14" fillId="17" borderId="9" xfId="0" applyNumberFormat="1" applyFont="1" applyFill="1" applyBorder="1" applyAlignment="1"/>
    <xf numFmtId="0" fontId="0" fillId="0" borderId="0" xfId="0" applyFont="1" applyAlignment="1"/>
    <xf numFmtId="166" fontId="24" fillId="0" borderId="1" xfId="0" applyNumberFormat="1" applyFont="1" applyBorder="1" applyAlignment="1">
      <alignment wrapText="1"/>
    </xf>
    <xf numFmtId="168" fontId="24" fillId="0" borderId="1" xfId="0" applyNumberFormat="1" applyFont="1" applyBorder="1" applyAlignment="1">
      <alignment wrapText="1"/>
    </xf>
    <xf numFmtId="0" fontId="5" fillId="0" borderId="7" xfId="0" applyFont="1" applyBorder="1"/>
    <xf numFmtId="0" fontId="0" fillId="0" borderId="3" xfId="0" applyFont="1" applyBorder="1" applyAlignment="1"/>
    <xf numFmtId="0" fontId="8" fillId="2" borderId="4" xfId="0" applyFont="1" applyFill="1" applyBorder="1" applyAlignment="1">
      <alignment vertical="center"/>
    </xf>
    <xf numFmtId="0" fontId="0" fillId="0" borderId="9" xfId="0" applyFont="1" applyBorder="1" applyAlignment="1"/>
    <xf numFmtId="0" fontId="5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 wrapText="1"/>
    </xf>
    <xf numFmtId="0" fontId="0" fillId="0" borderId="0" xfId="0" applyFont="1" applyAlignment="1"/>
    <xf numFmtId="0" fontId="5" fillId="0" borderId="7" xfId="0" applyFont="1" applyFill="1" applyBorder="1"/>
    <xf numFmtId="0" fontId="0" fillId="0" borderId="0" xfId="0" applyFont="1" applyFill="1" applyAlignment="1"/>
    <xf numFmtId="0" fontId="9" fillId="0" borderId="10" xfId="0" applyFont="1" applyFill="1" applyBorder="1" applyAlignment="1">
      <alignment vertical="center" wrapText="1"/>
    </xf>
    <xf numFmtId="171" fontId="12" fillId="0" borderId="9" xfId="2" applyNumberFormat="1" applyFont="1" applyFill="1" applyBorder="1" applyAlignment="1">
      <alignment vertical="center"/>
    </xf>
    <xf numFmtId="171" fontId="12" fillId="0" borderId="9" xfId="2" applyNumberFormat="1" applyFont="1" applyBorder="1" applyAlignment="1">
      <alignment vertical="center"/>
    </xf>
    <xf numFmtId="171" fontId="10" fillId="0" borderId="9" xfId="0" applyNumberFormat="1" applyFont="1" applyBorder="1" applyAlignment="1"/>
    <xf numFmtId="0" fontId="26" fillId="13" borderId="9" xfId="0" applyFont="1" applyFill="1" applyBorder="1" applyAlignment="1">
      <alignment horizontal="left" wrapText="1"/>
    </xf>
    <xf numFmtId="0" fontId="12" fillId="0" borderId="9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wrapText="1"/>
    </xf>
    <xf numFmtId="0" fontId="5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vertical="center"/>
    </xf>
    <xf numFmtId="0" fontId="5" fillId="0" borderId="36" xfId="0" applyFont="1" applyBorder="1"/>
    <xf numFmtId="0" fontId="5" fillId="0" borderId="34" xfId="0" applyFont="1" applyBorder="1"/>
    <xf numFmtId="0" fontId="5" fillId="0" borderId="36" xfId="0" applyFont="1" applyFill="1" applyBorder="1"/>
    <xf numFmtId="0" fontId="36" fillId="0" borderId="7" xfId="0" applyFont="1" applyBorder="1" applyAlignment="1">
      <alignment vertical="center" wrapText="1"/>
    </xf>
    <xf numFmtId="0" fontId="36" fillId="0" borderId="34" xfId="0" applyFont="1" applyBorder="1" applyAlignment="1">
      <alignment vertical="center" wrapText="1"/>
    </xf>
    <xf numFmtId="0" fontId="36" fillId="0" borderId="9" xfId="0" applyFont="1" applyBorder="1" applyAlignment="1">
      <alignment vertical="center" wrapText="1"/>
    </xf>
    <xf numFmtId="0" fontId="37" fillId="0" borderId="9" xfId="0" applyFont="1" applyBorder="1" applyAlignment="1">
      <alignment vertical="center" wrapText="1"/>
    </xf>
    <xf numFmtId="0" fontId="9" fillId="0" borderId="4" xfId="0" applyFont="1" applyFill="1" applyBorder="1" applyAlignment="1">
      <alignment horizontal="left" wrapText="1"/>
    </xf>
    <xf numFmtId="0" fontId="5" fillId="0" borderId="34" xfId="0" applyFont="1" applyFill="1" applyBorder="1"/>
    <xf numFmtId="0" fontId="26" fillId="13" borderId="12" xfId="0" applyFont="1" applyFill="1" applyBorder="1" applyAlignment="1">
      <alignment vertical="center" wrapText="1"/>
    </xf>
    <xf numFmtId="171" fontId="5" fillId="0" borderId="12" xfId="2" applyNumberFormat="1" applyFont="1" applyBorder="1" applyAlignment="1">
      <alignment vertical="center"/>
    </xf>
    <xf numFmtId="0" fontId="26" fillId="13" borderId="9" xfId="0" applyFont="1" applyFill="1" applyBorder="1" applyAlignment="1">
      <alignment vertical="center" wrapText="1"/>
    </xf>
    <xf numFmtId="171" fontId="32" fillId="0" borderId="9" xfId="2" applyNumberFormat="1" applyFont="1" applyBorder="1" applyAlignment="1">
      <alignment vertical="center"/>
    </xf>
    <xf numFmtId="0" fontId="31" fillId="13" borderId="9" xfId="0" applyFont="1" applyFill="1" applyBorder="1" applyAlignment="1">
      <alignment vertical="center" wrapText="1"/>
    </xf>
    <xf numFmtId="171" fontId="34" fillId="18" borderId="9" xfId="2" applyNumberFormat="1" applyFont="1" applyFill="1" applyBorder="1" applyAlignment="1">
      <alignment vertical="center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71" fontId="12" fillId="0" borderId="10" xfId="2" applyNumberFormat="1" applyFont="1" applyBorder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171" fontId="12" fillId="0" borderId="12" xfId="2" applyNumberFormat="1" applyFont="1" applyFill="1" applyBorder="1" applyAlignment="1">
      <alignment vertical="center"/>
    </xf>
    <xf numFmtId="0" fontId="9" fillId="0" borderId="9" xfId="0" applyFont="1" applyFill="1" applyBorder="1" applyAlignment="1">
      <alignment vertical="center" wrapText="1"/>
    </xf>
    <xf numFmtId="171" fontId="12" fillId="0" borderId="10" xfId="2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171" fontId="7" fillId="0" borderId="9" xfId="5" applyNumberFormat="1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3" fontId="7" fillId="0" borderId="9" xfId="2" applyNumberFormat="1" applyFont="1" applyFill="1" applyBorder="1" applyAlignment="1">
      <alignment horizontal="center" vertical="center"/>
    </xf>
    <xf numFmtId="9" fontId="7" fillId="0" borderId="9" xfId="4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 wrapText="1"/>
    </xf>
    <xf numFmtId="3" fontId="7" fillId="0" borderId="9" xfId="5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1" fontId="7" fillId="21" borderId="9" xfId="5" applyNumberFormat="1" applyFont="1" applyFill="1" applyBorder="1" applyAlignment="1">
      <alignment horizontal="center" vertical="center"/>
    </xf>
    <xf numFmtId="171" fontId="7" fillId="0" borderId="9" xfId="5" applyNumberFormat="1" applyFont="1" applyBorder="1" applyAlignment="1">
      <alignment vertical="center"/>
    </xf>
    <xf numFmtId="0" fontId="7" fillId="0" borderId="9" xfId="0" applyFont="1" applyBorder="1" applyAlignment="1">
      <alignment vertical="center"/>
    </xf>
    <xf numFmtId="171" fontId="10" fillId="0" borderId="9" xfId="5" applyNumberFormat="1" applyFont="1" applyBorder="1" applyAlignment="1">
      <alignment vertical="center"/>
    </xf>
    <xf numFmtId="0" fontId="1" fillId="0" borderId="9" xfId="0" applyFont="1" applyBorder="1" applyAlignment="1">
      <alignment horizontal="left" vertical="center" wrapText="1"/>
    </xf>
    <xf numFmtId="171" fontId="10" fillId="0" borderId="9" xfId="5" applyNumberFormat="1" applyFont="1" applyBorder="1" applyAlignment="1"/>
    <xf numFmtId="0" fontId="7" fillId="0" borderId="9" xfId="0" applyFont="1" applyFill="1" applyBorder="1" applyAlignment="1">
      <alignment horizontal="center" vertical="center" wrapText="1"/>
    </xf>
    <xf numFmtId="171" fontId="40" fillId="0" borderId="9" xfId="5" applyNumberFormat="1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171" fontId="33" fillId="18" borderId="9" xfId="0" applyNumberFormat="1" applyFont="1" applyFill="1" applyBorder="1" applyAlignment="1">
      <alignment vertical="center"/>
    </xf>
    <xf numFmtId="173" fontId="36" fillId="0" borderId="12" xfId="2" applyNumberFormat="1" applyFont="1" applyBorder="1" applyAlignment="1">
      <alignment vertical="center"/>
    </xf>
    <xf numFmtId="173" fontId="36" fillId="22" borderId="12" xfId="2" applyNumberFormat="1" applyFont="1" applyFill="1" applyBorder="1" applyAlignment="1">
      <alignment vertical="center"/>
    </xf>
    <xf numFmtId="0" fontId="0" fillId="0" borderId="0" xfId="0" applyFont="1" applyAlignment="1"/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171" fontId="7" fillId="0" borderId="10" xfId="5" applyNumberFormat="1" applyFont="1" applyFill="1" applyBorder="1" applyAlignment="1">
      <alignment horizontal="center" vertical="center"/>
    </xf>
    <xf numFmtId="171" fontId="7" fillId="0" borderId="12" xfId="5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5" fillId="19" borderId="9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8" fillId="19" borderId="30" xfId="0" applyFont="1" applyFill="1" applyBorder="1" applyAlignment="1">
      <alignment horizontal="center" vertical="center" wrapText="1"/>
    </xf>
    <xf numFmtId="0" fontId="38" fillId="19" borderId="31" xfId="0" applyFont="1" applyFill="1" applyBorder="1" applyAlignment="1">
      <alignment horizontal="center" vertical="center" wrapText="1"/>
    </xf>
    <xf numFmtId="0" fontId="38" fillId="19" borderId="32" xfId="0" applyFont="1" applyFill="1" applyBorder="1" applyAlignment="1">
      <alignment horizontal="center" vertical="center" wrapText="1"/>
    </xf>
    <xf numFmtId="0" fontId="4" fillId="20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0" borderId="2" xfId="0" applyFont="1" applyBorder="1"/>
    <xf numFmtId="0" fontId="6" fillId="2" borderId="5" xfId="0" applyFont="1" applyFill="1" applyBorder="1" applyAlignment="1">
      <alignment horizontal="center" vertical="center"/>
    </xf>
    <xf numFmtId="0" fontId="7" fillId="0" borderId="6" xfId="0" applyFont="1" applyBorder="1"/>
    <xf numFmtId="0" fontId="7" fillId="0" borderId="7" xfId="0" applyFont="1" applyBorder="1"/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3" fontId="9" fillId="0" borderId="10" xfId="2" applyFont="1" applyBorder="1" applyAlignment="1">
      <alignment horizontal="left" vertical="center" wrapText="1"/>
    </xf>
    <xf numFmtId="43" fontId="9" fillId="0" borderId="11" xfId="2" applyFont="1" applyBorder="1" applyAlignment="1">
      <alignment horizontal="left" vertical="center" wrapText="1"/>
    </xf>
    <xf numFmtId="43" fontId="9" fillId="0" borderId="12" xfId="2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5" fillId="19" borderId="13" xfId="0" applyFont="1" applyFill="1" applyBorder="1" applyAlignment="1">
      <alignment horizontal="center" vertical="center"/>
    </xf>
    <xf numFmtId="0" fontId="35" fillId="19" borderId="14" xfId="0" applyFont="1" applyFill="1" applyBorder="1" applyAlignment="1">
      <alignment horizontal="center" vertical="center"/>
    </xf>
    <xf numFmtId="0" fontId="35" fillId="19" borderId="37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5" fillId="19" borderId="30" xfId="0" applyFont="1" applyFill="1" applyBorder="1" applyAlignment="1">
      <alignment horizontal="center" vertical="center" wrapText="1"/>
    </xf>
    <xf numFmtId="0" fontId="35" fillId="19" borderId="31" xfId="0" applyFont="1" applyFill="1" applyBorder="1" applyAlignment="1">
      <alignment horizontal="center" vertical="center" wrapText="1"/>
    </xf>
    <xf numFmtId="0" fontId="35" fillId="19" borderId="3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 wrapText="1"/>
    </xf>
    <xf numFmtId="0" fontId="24" fillId="14" borderId="5" xfId="0" applyFont="1" applyFill="1" applyBorder="1" applyAlignment="1">
      <alignment horizontal="left"/>
    </xf>
    <xf numFmtId="0" fontId="28" fillId="0" borderId="6" xfId="0" applyFont="1" applyBorder="1"/>
    <xf numFmtId="0" fontId="28" fillId="0" borderId="7" xfId="0" applyFont="1" applyBorder="1"/>
    <xf numFmtId="0" fontId="15" fillId="7" borderId="3" xfId="0" applyFont="1" applyFill="1" applyBorder="1" applyAlignment="1">
      <alignment horizontal="center" vertical="center" wrapText="1"/>
    </xf>
    <xf numFmtId="0" fontId="12" fillId="0" borderId="3" xfId="0" applyFont="1" applyBorder="1"/>
    <xf numFmtId="0" fontId="0" fillId="0" borderId="0" xfId="0" applyFont="1" applyAlignment="1">
      <alignment horizontal="center"/>
    </xf>
    <xf numFmtId="0" fontId="20" fillId="0" borderId="23" xfId="0" applyFont="1" applyBorder="1" applyAlignment="1">
      <alignment horizontal="left"/>
    </xf>
    <xf numFmtId="0" fontId="20" fillId="9" borderId="23" xfId="0" applyFont="1" applyFill="1" applyBorder="1" applyAlignment="1">
      <alignment horizontal="left"/>
    </xf>
    <xf numFmtId="0" fontId="17" fillId="0" borderId="0" xfId="0" applyFont="1" applyAlignment="1">
      <alignment horizontal="left"/>
    </xf>
    <xf numFmtId="0" fontId="24" fillId="14" borderId="5" xfId="0" applyFont="1" applyFill="1" applyBorder="1" applyAlignment="1">
      <alignment horizontal="left" wrapText="1"/>
    </xf>
    <xf numFmtId="0" fontId="28" fillId="0" borderId="6" xfId="0" applyFont="1" applyBorder="1" applyAlignment="1">
      <alignment wrapText="1"/>
    </xf>
    <xf numFmtId="0" fontId="28" fillId="0" borderId="7" xfId="0" applyFont="1" applyBorder="1" applyAlignment="1">
      <alignment wrapText="1"/>
    </xf>
    <xf numFmtId="0" fontId="30" fillId="5" borderId="15" xfId="0" applyFont="1" applyFill="1" applyBorder="1" applyAlignment="1">
      <alignment horizontal="center" vertical="center" wrapText="1"/>
    </xf>
    <xf numFmtId="0" fontId="30" fillId="5" borderId="17" xfId="0" applyFont="1" applyFill="1" applyBorder="1"/>
    <xf numFmtId="0" fontId="30" fillId="5" borderId="20" xfId="0" applyFont="1" applyFill="1" applyBorder="1"/>
    <xf numFmtId="0" fontId="42" fillId="0" borderId="0" xfId="0" applyFont="1"/>
    <xf numFmtId="0" fontId="43" fillId="0" borderId="0" xfId="0" applyFont="1"/>
    <xf numFmtId="0" fontId="44" fillId="0" borderId="1" xfId="0" applyFont="1" applyBorder="1" applyAlignment="1">
      <alignment wrapText="1"/>
    </xf>
    <xf numFmtId="0" fontId="11" fillId="13" borderId="1" xfId="0" applyFont="1" applyFill="1" applyBorder="1" applyAlignment="1">
      <alignment wrapText="1"/>
    </xf>
    <xf numFmtId="0" fontId="45" fillId="14" borderId="1" xfId="0" applyFont="1" applyFill="1" applyBorder="1" applyAlignment="1">
      <alignment horizontal="left" wrapText="1"/>
    </xf>
    <xf numFmtId="0" fontId="46" fillId="13" borderId="1" xfId="0" applyFont="1" applyFill="1" applyBorder="1" applyAlignment="1">
      <alignment horizontal="center" wrapText="1"/>
    </xf>
    <xf numFmtId="0" fontId="11" fillId="13" borderId="1" xfId="0" applyFont="1" applyFill="1" applyBorder="1" applyAlignment="1">
      <alignment horizontal="center" wrapText="1"/>
    </xf>
    <xf numFmtId="0" fontId="11" fillId="13" borderId="8" xfId="0" applyFont="1" applyFill="1" applyBorder="1" applyAlignment="1">
      <alignment wrapText="1"/>
    </xf>
    <xf numFmtId="0" fontId="46" fillId="13" borderId="8" xfId="0" applyFont="1" applyFill="1" applyBorder="1" applyAlignment="1">
      <alignment horizontal="center" wrapText="1"/>
    </xf>
    <xf numFmtId="0" fontId="11" fillId="13" borderId="8" xfId="0" applyFont="1" applyFill="1" applyBorder="1" applyAlignment="1">
      <alignment horizontal="center" wrapText="1"/>
    </xf>
    <xf numFmtId="0" fontId="46" fillId="13" borderId="8" xfId="0" applyFont="1" applyFill="1" applyBorder="1" applyAlignment="1">
      <alignment wrapText="1"/>
    </xf>
    <xf numFmtId="0" fontId="11" fillId="0" borderId="8" xfId="0" applyFont="1" applyBorder="1" applyAlignment="1">
      <alignment horizontal="center" wrapText="1"/>
    </xf>
    <xf numFmtId="0" fontId="45" fillId="14" borderId="5" xfId="0" applyFont="1" applyFill="1" applyBorder="1" applyAlignment="1">
      <alignment horizontal="left" wrapText="1"/>
    </xf>
    <xf numFmtId="0" fontId="7" fillId="12" borderId="0" xfId="0" applyFont="1" applyFill="1" applyAlignment="1"/>
    <xf numFmtId="0" fontId="7" fillId="12" borderId="0" xfId="0" applyFont="1" applyFill="1"/>
    <xf numFmtId="0" fontId="45" fillId="11" borderId="1" xfId="0" applyFont="1" applyFill="1" applyBorder="1" applyAlignment="1">
      <alignment vertical="center"/>
    </xf>
    <xf numFmtId="0" fontId="45" fillId="11" borderId="1" xfId="0" applyFont="1" applyFill="1" applyBorder="1" applyAlignment="1">
      <alignment horizontal="left" vertical="center"/>
    </xf>
    <xf numFmtId="3" fontId="45" fillId="11" borderId="1" xfId="0" applyNumberFormat="1" applyFont="1" applyFill="1" applyBorder="1" applyAlignment="1">
      <alignment horizontal="left" vertical="center" wrapText="1"/>
    </xf>
    <xf numFmtId="0" fontId="46" fillId="13" borderId="1" xfId="0" applyFont="1" applyFill="1" applyBorder="1" applyAlignment="1"/>
    <xf numFmtId="0" fontId="45" fillId="14" borderId="1" xfId="0" applyFont="1" applyFill="1" applyBorder="1" applyAlignment="1">
      <alignment horizontal="left"/>
    </xf>
    <xf numFmtId="0" fontId="46" fillId="13" borderId="1" xfId="0" applyFont="1" applyFill="1" applyBorder="1" applyAlignment="1">
      <alignment horizontal="center"/>
    </xf>
    <xf numFmtId="0" fontId="46" fillId="13" borderId="8" xfId="0" applyFont="1" applyFill="1" applyBorder="1" applyAlignment="1"/>
    <xf numFmtId="0" fontId="46" fillId="13" borderId="8" xfId="0" applyFont="1" applyFill="1" applyBorder="1" applyAlignment="1">
      <alignment horizontal="center"/>
    </xf>
    <xf numFmtId="0" fontId="11" fillId="13" borderId="8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42" fillId="0" borderId="0" xfId="0" applyFont="1" applyAlignment="1"/>
    <xf numFmtId="0" fontId="33" fillId="0" borderId="0" xfId="0" applyFont="1" applyAlignment="1"/>
    <xf numFmtId="0" fontId="30" fillId="6" borderId="22" xfId="0" applyFont="1" applyFill="1" applyBorder="1" applyAlignment="1">
      <alignment horizontal="left" vertical="center" wrapText="1"/>
    </xf>
    <xf numFmtId="0" fontId="30" fillId="6" borderId="22" xfId="0" applyFont="1" applyFill="1" applyBorder="1" applyAlignment="1">
      <alignment horizontal="center" vertical="center" wrapText="1"/>
    </xf>
    <xf numFmtId="165" fontId="42" fillId="5" borderId="0" xfId="0" applyNumberFormat="1" applyFont="1" applyFill="1" applyAlignment="1"/>
    <xf numFmtId="0" fontId="42" fillId="0" borderId="0" xfId="0" applyFont="1" applyAlignment="1">
      <alignment horizontal="center"/>
    </xf>
    <xf numFmtId="0" fontId="42" fillId="5" borderId="0" xfId="0" applyFont="1" applyFill="1" applyAlignment="1"/>
    <xf numFmtId="43" fontId="33" fillId="0" borderId="0" xfId="2" applyFont="1" applyAlignment="1"/>
    <xf numFmtId="41" fontId="42" fillId="0" borderId="0" xfId="0" applyNumberFormat="1" applyFont="1" applyAlignment="1"/>
  </cellXfs>
  <cellStyles count="6">
    <cellStyle name="Comma" xfId="2" builtinId="3"/>
    <cellStyle name="Comma [0]" xfId="3" builtinId="6"/>
    <cellStyle name="Milliers 2" xfId="5" xr:uid="{00000000-0005-0000-0000-000002000000}"/>
    <cellStyle name="Normal" xfId="0" builtinId="0"/>
    <cellStyle name="Normal 2 10" xfId="1" xr:uid="{00000000-0005-0000-0000-000004000000}"/>
    <cellStyle name="Percent" xfId="4" builtinId="5"/>
  </cellStyles>
  <dxfs count="4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fp-my.sharepoint.com/Users/Staff-ACTED/Desktop/BHA_2022/Budget/Budget%20full%20proposal/BHA_2022-2024_Budget_Full%20Proposal_okdetails_V2_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HA Format"/>
      <sheetName val="RECAP &amp; RATIOS"/>
      <sheetName val="Sheet2"/>
      <sheetName val="Budget Narrative"/>
      <sheetName val="BOQ Budget Narrative"/>
      <sheetName val="A FAIRE"/>
      <sheetName val="Summary"/>
      <sheetName val="BHA Detailed Budget"/>
      <sheetName val="Subgrant IMPACT"/>
      <sheetName val="SECU"/>
      <sheetName val="REACH"/>
      <sheetName val="Staff"/>
      <sheetName val="TO DO"/>
      <sheetName val="BoQ Prog"/>
      <sheetName val="Wash"/>
      <sheetName val="Puits"/>
      <sheetName val="Détail"/>
      <sheetName val="BoQ M&amp;E"/>
      <sheetName val="AME"/>
      <sheetName val="FOOD"/>
      <sheetName val=" WASH"/>
      <sheetName val="ABRIS"/>
      <sheetName val="NFI"/>
      <sheetName val="CCCM"/>
      <sheetName val="AGR"/>
      <sheetName val="SUP"/>
      <sheetName val="PU EXPATS"/>
      <sheetName val="PU NATS"/>
      <sheetName val="PU RUN"/>
      <sheetName val="LOG SUP"/>
      <sheetName val="Transverse"/>
      <sheetName val="LOG PRG"/>
      <sheetName val="PD"/>
    </sheetNames>
    <sheetDataSet>
      <sheetData sheetId="0"/>
      <sheetData sheetId="1">
        <row r="3">
          <cell r="I3">
            <v>584.84040656205423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J1077"/>
  <sheetViews>
    <sheetView tabSelected="1" topLeftCell="A148" zoomScale="120" zoomScaleNormal="120" workbookViewId="0">
      <selection activeCell="D49" sqref="D49"/>
    </sheetView>
  </sheetViews>
  <sheetFormatPr defaultColWidth="14.42578125" defaultRowHeight="15" customHeight="1"/>
  <cols>
    <col min="1" max="1" width="14.42578125" style="103"/>
    <col min="2" max="2" width="24.140625" customWidth="1"/>
    <col min="3" max="3" width="31.85546875" customWidth="1"/>
    <col min="4" max="4" width="11" bestFit="1" customWidth="1"/>
    <col min="5" max="5" width="16.28515625" customWidth="1"/>
    <col min="6" max="6" width="12" bestFit="1" customWidth="1"/>
    <col min="7" max="9" width="10.42578125" customWidth="1"/>
    <col min="10" max="10" width="35.7109375" customWidth="1"/>
    <col min="11" max="27" width="8.7109375" customWidth="1"/>
  </cols>
  <sheetData>
    <row r="1" spans="1:10" ht="24.75" customHeight="1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0" ht="14.25" customHeight="1"/>
    <row r="3" spans="1:10" ht="25.5" customHeight="1">
      <c r="B3" s="207" t="s">
        <v>23</v>
      </c>
      <c r="C3" s="207" t="s">
        <v>24</v>
      </c>
      <c r="D3" s="209" t="s">
        <v>25</v>
      </c>
      <c r="E3" s="210"/>
      <c r="F3" s="211"/>
      <c r="G3" s="209" t="s">
        <v>26</v>
      </c>
      <c r="H3" s="210"/>
      <c r="I3" s="211"/>
      <c r="J3" s="207" t="s">
        <v>1</v>
      </c>
    </row>
    <row r="4" spans="1:10" ht="22.5" customHeight="1">
      <c r="A4" s="107"/>
      <c r="B4" s="208"/>
      <c r="C4" s="208"/>
      <c r="D4" s="108" t="s">
        <v>27</v>
      </c>
      <c r="E4" s="108" t="s">
        <v>28</v>
      </c>
      <c r="F4" s="108" t="s">
        <v>29</v>
      </c>
      <c r="G4" s="108" t="s">
        <v>27</v>
      </c>
      <c r="H4" s="108" t="s">
        <v>28</v>
      </c>
      <c r="I4" s="108" t="s">
        <v>29</v>
      </c>
      <c r="J4" s="208"/>
    </row>
    <row r="5" spans="1:10" s="112" customFormat="1" ht="22.5" customHeight="1">
      <c r="A5" s="194" t="s">
        <v>212</v>
      </c>
      <c r="B5" s="194"/>
      <c r="C5" s="194"/>
      <c r="D5" s="194"/>
      <c r="E5" s="194"/>
      <c r="F5" s="194"/>
      <c r="G5" s="194"/>
      <c r="H5" s="194"/>
      <c r="I5" s="194"/>
      <c r="J5" s="194"/>
    </row>
    <row r="6" spans="1:10" ht="28.5" customHeight="1">
      <c r="A6" s="192" t="s">
        <v>211</v>
      </c>
      <c r="B6" s="214" t="s">
        <v>30</v>
      </c>
      <c r="C6" s="137" t="s">
        <v>167</v>
      </c>
      <c r="D6" s="138"/>
      <c r="E6" s="138"/>
      <c r="F6" s="138">
        <v>60000</v>
      </c>
      <c r="G6" s="169">
        <f>D6/650</f>
        <v>0</v>
      </c>
      <c r="H6" s="169">
        <f>E6/650</f>
        <v>0</v>
      </c>
      <c r="I6" s="169">
        <f>F6/650</f>
        <v>92.307692307692307</v>
      </c>
      <c r="J6" s="128"/>
    </row>
    <row r="7" spans="1:10" ht="28.5" customHeight="1">
      <c r="A7" s="192"/>
      <c r="B7" s="214"/>
      <c r="C7" s="139" t="s">
        <v>166</v>
      </c>
      <c r="D7" s="117">
        <v>50000</v>
      </c>
      <c r="E7" s="117">
        <v>60000</v>
      </c>
      <c r="F7" s="117">
        <f>(D7+E7)/2</f>
        <v>55000</v>
      </c>
      <c r="G7" s="169">
        <f t="shared" ref="G7:G32" si="0">D7/650</f>
        <v>76.92307692307692</v>
      </c>
      <c r="H7" s="169">
        <f t="shared" ref="H7:H32" si="1">E7/650</f>
        <v>92.307692307692307</v>
      </c>
      <c r="I7" s="169">
        <f t="shared" ref="I7:I32" si="2">F7/650</f>
        <v>84.615384615384613</v>
      </c>
      <c r="J7" s="106"/>
    </row>
    <row r="8" spans="1:10" ht="28.5" customHeight="1">
      <c r="A8" s="192"/>
      <c r="B8" s="214"/>
      <c r="C8" s="139" t="s">
        <v>104</v>
      </c>
      <c r="D8" s="117">
        <f>100*900</f>
        <v>90000</v>
      </c>
      <c r="E8" s="117">
        <f>100*1500</f>
        <v>150000</v>
      </c>
      <c r="F8" s="117">
        <f>(D8+E8)/2</f>
        <v>120000</v>
      </c>
      <c r="G8" s="169">
        <f t="shared" si="0"/>
        <v>138.46153846153845</v>
      </c>
      <c r="H8" s="169">
        <f t="shared" si="1"/>
        <v>230.76923076923077</v>
      </c>
      <c r="I8" s="169">
        <f t="shared" si="2"/>
        <v>184.61538461538461</v>
      </c>
      <c r="J8" s="106"/>
    </row>
    <row r="9" spans="1:10" ht="40.5" customHeight="1">
      <c r="A9" s="192"/>
      <c r="B9" s="214"/>
      <c r="C9" s="139" t="s">
        <v>114</v>
      </c>
      <c r="D9" s="117">
        <f>7500*5*7</f>
        <v>262500</v>
      </c>
      <c r="E9" s="117">
        <f>12500*5*7</f>
        <v>437500</v>
      </c>
      <c r="F9" s="117">
        <f>(D9+E9)/2</f>
        <v>350000</v>
      </c>
      <c r="G9" s="169">
        <f t="shared" si="0"/>
        <v>403.84615384615387</v>
      </c>
      <c r="H9" s="169">
        <f t="shared" si="1"/>
        <v>673.07692307692309</v>
      </c>
      <c r="I9" s="169">
        <f t="shared" si="2"/>
        <v>538.46153846153845</v>
      </c>
      <c r="J9" s="106"/>
    </row>
    <row r="10" spans="1:10" ht="37.5" customHeight="1">
      <c r="A10" s="192"/>
      <c r="B10" s="214"/>
      <c r="C10" s="139" t="s">
        <v>115</v>
      </c>
      <c r="D10" s="117">
        <f>5000*2*5</f>
        <v>50000</v>
      </c>
      <c r="E10" s="117">
        <f>10000*2*5</f>
        <v>100000</v>
      </c>
      <c r="F10" s="117">
        <f>(D10+E10)/2</f>
        <v>75000</v>
      </c>
      <c r="G10" s="169">
        <f t="shared" si="0"/>
        <v>76.92307692307692</v>
      </c>
      <c r="H10" s="169">
        <f t="shared" si="1"/>
        <v>153.84615384615384</v>
      </c>
      <c r="I10" s="169">
        <f t="shared" si="2"/>
        <v>115.38461538461539</v>
      </c>
      <c r="J10" s="106"/>
    </row>
    <row r="11" spans="1:10" s="103" customFormat="1" ht="28.5" customHeight="1">
      <c r="A11" s="192"/>
      <c r="B11" s="214"/>
      <c r="C11" s="139" t="s">
        <v>168</v>
      </c>
      <c r="D11" s="117">
        <v>30000</v>
      </c>
      <c r="E11" s="117">
        <v>40000</v>
      </c>
      <c r="F11" s="117">
        <f t="shared" ref="F11:F17" si="3">(D11+E11)/2</f>
        <v>35000</v>
      </c>
      <c r="G11" s="169">
        <f t="shared" si="0"/>
        <v>46.153846153846153</v>
      </c>
      <c r="H11" s="169">
        <f t="shared" si="1"/>
        <v>61.53846153846154</v>
      </c>
      <c r="I11" s="169">
        <f t="shared" si="2"/>
        <v>53.846153846153847</v>
      </c>
      <c r="J11" s="106"/>
    </row>
    <row r="12" spans="1:10" s="103" customFormat="1" ht="28.5" customHeight="1">
      <c r="A12" s="192"/>
      <c r="B12" s="215"/>
      <c r="C12" s="139" t="s">
        <v>169</v>
      </c>
      <c r="D12" s="117">
        <v>10000</v>
      </c>
      <c r="E12" s="117">
        <v>15000</v>
      </c>
      <c r="F12" s="117">
        <f t="shared" si="3"/>
        <v>12500</v>
      </c>
      <c r="G12" s="169">
        <f t="shared" si="0"/>
        <v>15.384615384615385</v>
      </c>
      <c r="H12" s="169">
        <f t="shared" si="1"/>
        <v>23.076923076923077</v>
      </c>
      <c r="I12" s="169">
        <f t="shared" si="2"/>
        <v>19.23076923076923</v>
      </c>
      <c r="J12" s="106"/>
    </row>
    <row r="13" spans="1:10" s="103" customFormat="1" ht="28.5" customHeight="1">
      <c r="A13" s="192"/>
      <c r="B13" s="216" t="s">
        <v>159</v>
      </c>
      <c r="C13" s="139" t="s">
        <v>158</v>
      </c>
      <c r="D13" s="117">
        <v>300</v>
      </c>
      <c r="E13" s="117">
        <v>500</v>
      </c>
      <c r="F13" s="117">
        <f t="shared" si="3"/>
        <v>400</v>
      </c>
      <c r="G13" s="169">
        <f t="shared" si="0"/>
        <v>0.46153846153846156</v>
      </c>
      <c r="H13" s="169">
        <f t="shared" si="1"/>
        <v>0.76923076923076927</v>
      </c>
      <c r="I13" s="169">
        <f t="shared" si="2"/>
        <v>0.61538461538461542</v>
      </c>
      <c r="J13" s="106"/>
    </row>
    <row r="14" spans="1:10" s="103" customFormat="1" ht="28.5" customHeight="1">
      <c r="A14" s="193"/>
      <c r="B14" s="215"/>
      <c r="C14" s="139" t="s">
        <v>170</v>
      </c>
      <c r="D14" s="117">
        <v>2000</v>
      </c>
      <c r="E14" s="117">
        <v>2500</v>
      </c>
      <c r="F14" s="117">
        <f t="shared" si="3"/>
        <v>2250</v>
      </c>
      <c r="G14" s="169">
        <f t="shared" si="0"/>
        <v>3.0769230769230771</v>
      </c>
      <c r="H14" s="169">
        <f t="shared" si="1"/>
        <v>3.8461538461538463</v>
      </c>
      <c r="I14" s="169">
        <f t="shared" si="2"/>
        <v>3.4615384615384617</v>
      </c>
      <c r="J14" s="106"/>
    </row>
    <row r="15" spans="1:10" s="103" customFormat="1" ht="28.5" customHeight="1">
      <c r="A15" s="195" t="s">
        <v>157</v>
      </c>
      <c r="B15" s="217" t="s">
        <v>209</v>
      </c>
      <c r="C15" s="139" t="s">
        <v>68</v>
      </c>
      <c r="D15" s="140">
        <v>8100</v>
      </c>
      <c r="E15" s="117">
        <v>8100</v>
      </c>
      <c r="F15" s="117">
        <f t="shared" si="3"/>
        <v>8100</v>
      </c>
      <c r="G15" s="169">
        <f t="shared" si="0"/>
        <v>12.461538461538462</v>
      </c>
      <c r="H15" s="169">
        <f t="shared" si="1"/>
        <v>12.461538461538462</v>
      </c>
      <c r="I15" s="169">
        <f t="shared" si="2"/>
        <v>12.461538461538462</v>
      </c>
      <c r="J15" s="106"/>
    </row>
    <row r="16" spans="1:10" s="103" customFormat="1" ht="28.5" customHeight="1">
      <c r="A16" s="196"/>
      <c r="B16" s="218"/>
      <c r="C16" s="139" t="s">
        <v>55</v>
      </c>
      <c r="D16" s="140">
        <v>2250</v>
      </c>
      <c r="E16" s="117">
        <v>2700</v>
      </c>
      <c r="F16" s="117">
        <f t="shared" si="3"/>
        <v>2475</v>
      </c>
      <c r="G16" s="169">
        <f t="shared" si="0"/>
        <v>3.4615384615384617</v>
      </c>
      <c r="H16" s="169">
        <f t="shared" si="1"/>
        <v>4.1538461538461542</v>
      </c>
      <c r="I16" s="169">
        <f t="shared" si="2"/>
        <v>3.8076923076923075</v>
      </c>
      <c r="J16" s="106"/>
    </row>
    <row r="17" spans="1:10" s="103" customFormat="1" ht="28.5" customHeight="1">
      <c r="A17" s="196"/>
      <c r="B17" s="218"/>
      <c r="C17" s="139" t="s">
        <v>56</v>
      </c>
      <c r="D17" s="140">
        <v>1125</v>
      </c>
      <c r="E17" s="117">
        <v>1350</v>
      </c>
      <c r="F17" s="117">
        <f t="shared" si="3"/>
        <v>1237.5</v>
      </c>
      <c r="G17" s="169">
        <f t="shared" si="0"/>
        <v>1.7307692307692308</v>
      </c>
      <c r="H17" s="169">
        <f t="shared" si="1"/>
        <v>2.0769230769230771</v>
      </c>
      <c r="I17" s="169">
        <f t="shared" si="2"/>
        <v>1.9038461538461537</v>
      </c>
      <c r="J17" s="106"/>
    </row>
    <row r="18" spans="1:10" s="103" customFormat="1" ht="28.5" customHeight="1">
      <c r="A18" s="196"/>
      <c r="B18" s="218"/>
      <c r="C18" s="139" t="s">
        <v>57</v>
      </c>
      <c r="D18" s="140">
        <v>75</v>
      </c>
      <c r="E18" s="117">
        <v>75</v>
      </c>
      <c r="F18" s="117">
        <f>(D18+E18)/2</f>
        <v>75</v>
      </c>
      <c r="G18" s="169">
        <f t="shared" si="0"/>
        <v>0.11538461538461539</v>
      </c>
      <c r="H18" s="169">
        <f t="shared" si="1"/>
        <v>0.11538461538461539</v>
      </c>
      <c r="I18" s="169">
        <f t="shared" si="2"/>
        <v>0.11538461538461539</v>
      </c>
      <c r="J18" s="106"/>
    </row>
    <row r="19" spans="1:10" s="103" customFormat="1" ht="28.5" customHeight="1">
      <c r="A19" s="197"/>
      <c r="B19" s="219"/>
      <c r="C19" s="141" t="s">
        <v>172</v>
      </c>
      <c r="D19" s="168">
        <f>SUM(D15:D18)</f>
        <v>11550</v>
      </c>
      <c r="E19" s="168">
        <f t="shared" ref="E19:F19" si="4">SUM(E15:E18)</f>
        <v>12225</v>
      </c>
      <c r="F19" s="168">
        <f t="shared" si="4"/>
        <v>11887.5</v>
      </c>
      <c r="G19" s="170">
        <f t="shared" si="0"/>
        <v>17.76923076923077</v>
      </c>
      <c r="H19" s="170">
        <f t="shared" si="1"/>
        <v>18.807692307692307</v>
      </c>
      <c r="I19" s="170">
        <f t="shared" si="2"/>
        <v>18.28846153846154</v>
      </c>
      <c r="J19" s="106"/>
    </row>
    <row r="20" spans="1:10" s="103" customFormat="1" ht="28.5" customHeight="1">
      <c r="A20" s="198" t="s">
        <v>156</v>
      </c>
      <c r="B20" s="119" t="s">
        <v>160</v>
      </c>
      <c r="C20" s="139" t="s">
        <v>171</v>
      </c>
      <c r="D20" s="117">
        <f>6%*D25</f>
        <v>693</v>
      </c>
      <c r="E20" s="117">
        <f>10%*E25</f>
        <v>1222.5</v>
      </c>
      <c r="F20" s="117">
        <f>(D20+E20)/2</f>
        <v>957.75</v>
      </c>
      <c r="G20" s="169">
        <f t="shared" si="0"/>
        <v>1.0661538461538462</v>
      </c>
      <c r="H20" s="169">
        <f t="shared" si="1"/>
        <v>1.8807692307692307</v>
      </c>
      <c r="I20" s="169">
        <f t="shared" si="2"/>
        <v>1.4734615384615384</v>
      </c>
      <c r="J20" s="106"/>
    </row>
    <row r="21" spans="1:10" s="103" customFormat="1" ht="28.5" customHeight="1">
      <c r="A21" s="199"/>
      <c r="B21" s="220" t="s">
        <v>161</v>
      </c>
      <c r="C21" s="139" t="s">
        <v>68</v>
      </c>
      <c r="D21" s="117">
        <v>8100</v>
      </c>
      <c r="E21" s="117">
        <v>8100</v>
      </c>
      <c r="F21" s="117">
        <v>8100</v>
      </c>
      <c r="G21" s="169">
        <f t="shared" si="0"/>
        <v>12.461538461538462</v>
      </c>
      <c r="H21" s="169">
        <f t="shared" si="1"/>
        <v>12.461538461538462</v>
      </c>
      <c r="I21" s="169">
        <f t="shared" si="2"/>
        <v>12.461538461538462</v>
      </c>
      <c r="J21" s="106"/>
    </row>
    <row r="22" spans="1:10" s="103" customFormat="1" ht="28.5" customHeight="1">
      <c r="A22" s="199"/>
      <c r="B22" s="221"/>
      <c r="C22" s="139" t="s">
        <v>55</v>
      </c>
      <c r="D22" s="117">
        <v>2250</v>
      </c>
      <c r="E22" s="117">
        <v>2700</v>
      </c>
      <c r="F22" s="117">
        <v>2475</v>
      </c>
      <c r="G22" s="169">
        <f t="shared" si="0"/>
        <v>3.4615384615384617</v>
      </c>
      <c r="H22" s="169">
        <f t="shared" si="1"/>
        <v>4.1538461538461542</v>
      </c>
      <c r="I22" s="169">
        <f t="shared" si="2"/>
        <v>3.8076923076923075</v>
      </c>
      <c r="J22" s="106"/>
    </row>
    <row r="23" spans="1:10" s="103" customFormat="1" ht="28.5" customHeight="1">
      <c r="A23" s="199"/>
      <c r="B23" s="221"/>
      <c r="C23" s="139" t="s">
        <v>56</v>
      </c>
      <c r="D23" s="117">
        <v>1125</v>
      </c>
      <c r="E23" s="117">
        <v>1350</v>
      </c>
      <c r="F23" s="117">
        <v>1237.5</v>
      </c>
      <c r="G23" s="169">
        <f t="shared" si="0"/>
        <v>1.7307692307692308</v>
      </c>
      <c r="H23" s="169">
        <f t="shared" si="1"/>
        <v>2.0769230769230771</v>
      </c>
      <c r="I23" s="169">
        <f t="shared" si="2"/>
        <v>1.9038461538461537</v>
      </c>
      <c r="J23" s="106"/>
    </row>
    <row r="24" spans="1:10" s="103" customFormat="1" ht="28.5" customHeight="1">
      <c r="A24" s="199"/>
      <c r="B24" s="221"/>
      <c r="C24" s="139" t="s">
        <v>57</v>
      </c>
      <c r="D24" s="117">
        <v>75</v>
      </c>
      <c r="E24" s="117">
        <v>75</v>
      </c>
      <c r="F24" s="117">
        <v>75</v>
      </c>
      <c r="G24" s="169">
        <f t="shared" si="0"/>
        <v>0.11538461538461539</v>
      </c>
      <c r="H24" s="169">
        <f t="shared" si="1"/>
        <v>0.11538461538461539</v>
      </c>
      <c r="I24" s="169">
        <f t="shared" si="2"/>
        <v>0.11538461538461539</v>
      </c>
      <c r="J24" s="106"/>
    </row>
    <row r="25" spans="1:10" s="103" customFormat="1" ht="28.5" customHeight="1">
      <c r="A25" s="200"/>
      <c r="B25" s="222"/>
      <c r="C25" s="141" t="s">
        <v>172</v>
      </c>
      <c r="D25" s="142">
        <f>SUM(D21:D24)</f>
        <v>11550</v>
      </c>
      <c r="E25" s="142">
        <f t="shared" ref="E25:F25" si="5">SUM(E21:E24)</f>
        <v>12225</v>
      </c>
      <c r="F25" s="142">
        <f t="shared" si="5"/>
        <v>11887.5</v>
      </c>
      <c r="G25" s="170">
        <f t="shared" si="0"/>
        <v>17.76923076923077</v>
      </c>
      <c r="H25" s="170">
        <f t="shared" si="1"/>
        <v>18.807692307692307</v>
      </c>
      <c r="I25" s="170">
        <f t="shared" si="2"/>
        <v>18.28846153846154</v>
      </c>
      <c r="J25" s="106"/>
    </row>
    <row r="26" spans="1:10" s="103" customFormat="1" ht="28.5" customHeight="1">
      <c r="A26" s="201" t="s">
        <v>162</v>
      </c>
      <c r="B26" s="189" t="s">
        <v>163</v>
      </c>
      <c r="C26" s="139" t="s">
        <v>68</v>
      </c>
      <c r="D26" s="140">
        <v>8100</v>
      </c>
      <c r="E26" s="117">
        <v>8100</v>
      </c>
      <c r="F26" s="117">
        <f t="shared" ref="F26:F32" si="6">(D26+E26)/2</f>
        <v>8100</v>
      </c>
      <c r="G26" s="169">
        <f t="shared" si="0"/>
        <v>12.461538461538462</v>
      </c>
      <c r="H26" s="169">
        <f t="shared" si="1"/>
        <v>12.461538461538462</v>
      </c>
      <c r="I26" s="169">
        <f t="shared" si="2"/>
        <v>12.461538461538462</v>
      </c>
      <c r="J26" s="106"/>
    </row>
    <row r="27" spans="1:10" s="103" customFormat="1" ht="28.5" customHeight="1">
      <c r="A27" s="202"/>
      <c r="B27" s="190"/>
      <c r="C27" s="139" t="s">
        <v>55</v>
      </c>
      <c r="D27" s="140">
        <v>2250</v>
      </c>
      <c r="E27" s="117">
        <v>2700</v>
      </c>
      <c r="F27" s="117">
        <f t="shared" si="6"/>
        <v>2475</v>
      </c>
      <c r="G27" s="169">
        <f t="shared" si="0"/>
        <v>3.4615384615384617</v>
      </c>
      <c r="H27" s="169">
        <f t="shared" si="1"/>
        <v>4.1538461538461542</v>
      </c>
      <c r="I27" s="169">
        <f t="shared" si="2"/>
        <v>3.8076923076923075</v>
      </c>
      <c r="J27" s="106"/>
    </row>
    <row r="28" spans="1:10" s="103" customFormat="1" ht="28.5" customHeight="1">
      <c r="A28" s="202"/>
      <c r="B28" s="190"/>
      <c r="C28" s="139" t="s">
        <v>56</v>
      </c>
      <c r="D28" s="140">
        <v>1125</v>
      </c>
      <c r="E28" s="117">
        <v>1350</v>
      </c>
      <c r="F28" s="117">
        <f t="shared" si="6"/>
        <v>1237.5</v>
      </c>
      <c r="G28" s="169">
        <f t="shared" si="0"/>
        <v>1.7307692307692308</v>
      </c>
      <c r="H28" s="169">
        <f t="shared" si="1"/>
        <v>2.0769230769230771</v>
      </c>
      <c r="I28" s="169">
        <f t="shared" si="2"/>
        <v>1.9038461538461537</v>
      </c>
      <c r="J28" s="106"/>
    </row>
    <row r="29" spans="1:10" s="103" customFormat="1" ht="28.5" customHeight="1">
      <c r="A29" s="202"/>
      <c r="B29" s="190"/>
      <c r="C29" s="139" t="s">
        <v>57</v>
      </c>
      <c r="D29" s="140">
        <v>75</v>
      </c>
      <c r="E29" s="117">
        <v>75</v>
      </c>
      <c r="F29" s="117">
        <f t="shared" si="6"/>
        <v>75</v>
      </c>
      <c r="G29" s="169">
        <f t="shared" si="0"/>
        <v>0.11538461538461539</v>
      </c>
      <c r="H29" s="169">
        <f t="shared" si="1"/>
        <v>0.11538461538461539</v>
      </c>
      <c r="I29" s="169">
        <f t="shared" si="2"/>
        <v>0.11538461538461539</v>
      </c>
      <c r="J29" s="106"/>
    </row>
    <row r="30" spans="1:10" s="103" customFormat="1" ht="28.5" customHeight="1">
      <c r="A30" s="202"/>
      <c r="B30" s="191"/>
      <c r="C30" s="141" t="s">
        <v>172</v>
      </c>
      <c r="D30" s="142">
        <f>SUM(D26:D29)</f>
        <v>11550</v>
      </c>
      <c r="E30" s="142">
        <f t="shared" ref="E30" si="7">SUM(E26:E29)</f>
        <v>12225</v>
      </c>
      <c r="F30" s="142">
        <f t="shared" ref="F30" si="8">SUM(F26:F29)</f>
        <v>11887.5</v>
      </c>
      <c r="G30" s="170">
        <f t="shared" si="0"/>
        <v>17.76923076923077</v>
      </c>
      <c r="H30" s="170">
        <f t="shared" si="1"/>
        <v>18.807692307692307</v>
      </c>
      <c r="I30" s="170">
        <f t="shared" si="2"/>
        <v>18.28846153846154</v>
      </c>
      <c r="J30" s="106"/>
    </row>
    <row r="31" spans="1:10" ht="30">
      <c r="A31" s="202"/>
      <c r="B31" s="120" t="s">
        <v>164</v>
      </c>
      <c r="C31" s="143" t="s">
        <v>173</v>
      </c>
      <c r="D31" s="117">
        <v>2000</v>
      </c>
      <c r="E31" s="117">
        <v>2500</v>
      </c>
      <c r="F31" s="117">
        <f t="shared" si="6"/>
        <v>2250</v>
      </c>
      <c r="G31" s="169">
        <f t="shared" si="0"/>
        <v>3.0769230769230771</v>
      </c>
      <c r="H31" s="169">
        <f t="shared" si="1"/>
        <v>3.8461538461538463</v>
      </c>
      <c r="I31" s="169">
        <f t="shared" si="2"/>
        <v>3.4615384615384617</v>
      </c>
      <c r="J31" s="106"/>
    </row>
    <row r="32" spans="1:10" ht="30">
      <c r="A32" s="202"/>
      <c r="B32" s="121" t="s">
        <v>174</v>
      </c>
      <c r="C32" s="144" t="s">
        <v>175</v>
      </c>
      <c r="D32" s="145">
        <f>5*5000</f>
        <v>25000</v>
      </c>
      <c r="E32" s="145">
        <f>5*7500</f>
        <v>37500</v>
      </c>
      <c r="F32" s="145">
        <f t="shared" si="6"/>
        <v>31250</v>
      </c>
      <c r="G32" s="169">
        <f t="shared" si="0"/>
        <v>38.46153846153846</v>
      </c>
      <c r="H32" s="169">
        <f t="shared" si="1"/>
        <v>57.692307692307693</v>
      </c>
      <c r="I32" s="169">
        <f t="shared" si="2"/>
        <v>48.07692307692308</v>
      </c>
      <c r="J32" s="129"/>
    </row>
    <row r="33" spans="1:10" s="103" customFormat="1" ht="22.5" customHeight="1">
      <c r="A33" s="194" t="s">
        <v>214</v>
      </c>
      <c r="B33" s="194"/>
      <c r="C33" s="194"/>
      <c r="D33" s="194"/>
      <c r="E33" s="194"/>
      <c r="F33" s="194"/>
      <c r="G33" s="194"/>
      <c r="H33" s="194"/>
      <c r="I33" s="194"/>
      <c r="J33" s="194"/>
    </row>
    <row r="34" spans="1:10" s="114" customFormat="1" ht="30" customHeight="1">
      <c r="A34" s="172" t="s">
        <v>2</v>
      </c>
      <c r="B34" s="177" t="s">
        <v>33</v>
      </c>
      <c r="C34" s="146" t="s">
        <v>179</v>
      </c>
      <c r="D34" s="147">
        <v>2000</v>
      </c>
      <c r="E34" s="147">
        <v>3000</v>
      </c>
      <c r="F34" s="147">
        <f t="shared" ref="F34:F44" si="9">AVERAGE(D34:E34)</f>
        <v>2500</v>
      </c>
      <c r="G34" s="169">
        <f t="shared" ref="G34" si="10">D34/650</f>
        <v>3.0769230769230771</v>
      </c>
      <c r="H34" s="169">
        <f t="shared" ref="H34" si="11">E34/650</f>
        <v>4.615384615384615</v>
      </c>
      <c r="I34" s="169">
        <f t="shared" ref="I34" si="12">F34/650</f>
        <v>3.8461538461538463</v>
      </c>
      <c r="J34" s="130"/>
    </row>
    <row r="35" spans="1:10" s="114" customFormat="1">
      <c r="A35" s="172"/>
      <c r="B35" s="178"/>
      <c r="C35" s="115" t="s">
        <v>180</v>
      </c>
      <c r="D35" s="116">
        <v>1500</v>
      </c>
      <c r="E35" s="116">
        <v>2000</v>
      </c>
      <c r="F35" s="116">
        <f t="shared" si="9"/>
        <v>1750</v>
      </c>
      <c r="G35" s="169">
        <f t="shared" ref="G35:G66" si="13">D35/650</f>
        <v>2.3076923076923075</v>
      </c>
      <c r="H35" s="169">
        <f t="shared" ref="H35:H66" si="14">E35/650</f>
        <v>3.0769230769230771</v>
      </c>
      <c r="I35" s="169">
        <f t="shared" ref="I35:I66" si="15">F35/650</f>
        <v>2.6923076923076925</v>
      </c>
      <c r="J35" s="113"/>
    </row>
    <row r="36" spans="1:10" s="114" customFormat="1">
      <c r="A36" s="172"/>
      <c r="B36" s="178"/>
      <c r="C36" s="115" t="s">
        <v>181</v>
      </c>
      <c r="D36" s="116">
        <v>2500</v>
      </c>
      <c r="E36" s="116">
        <v>4000</v>
      </c>
      <c r="F36" s="116">
        <f t="shared" si="9"/>
        <v>3250</v>
      </c>
      <c r="G36" s="169">
        <f t="shared" si="13"/>
        <v>3.8461538461538463</v>
      </c>
      <c r="H36" s="169">
        <f t="shared" si="14"/>
        <v>6.1538461538461542</v>
      </c>
      <c r="I36" s="169">
        <f t="shared" si="15"/>
        <v>5</v>
      </c>
      <c r="J36" s="113"/>
    </row>
    <row r="37" spans="1:10" s="114" customFormat="1">
      <c r="A37" s="172"/>
      <c r="B37" s="179"/>
      <c r="C37" s="115" t="s">
        <v>217</v>
      </c>
      <c r="D37" s="116">
        <v>1500</v>
      </c>
      <c r="E37" s="116">
        <v>2000</v>
      </c>
      <c r="F37" s="116">
        <f t="shared" si="9"/>
        <v>1750</v>
      </c>
      <c r="G37" s="169">
        <f t="shared" si="13"/>
        <v>2.3076923076923075</v>
      </c>
      <c r="H37" s="169">
        <f t="shared" si="14"/>
        <v>3.0769230769230771</v>
      </c>
      <c r="I37" s="169">
        <f t="shared" si="15"/>
        <v>2.6923076923076925</v>
      </c>
      <c r="J37" s="113"/>
    </row>
    <row r="38" spans="1:10" s="114" customFormat="1" ht="15" customHeight="1">
      <c r="A38" s="172"/>
      <c r="B38" s="177" t="s">
        <v>32</v>
      </c>
      <c r="C38" s="115" t="s">
        <v>182</v>
      </c>
      <c r="D38" s="116">
        <v>4000</v>
      </c>
      <c r="E38" s="116">
        <v>4500</v>
      </c>
      <c r="F38" s="116">
        <f t="shared" si="9"/>
        <v>4250</v>
      </c>
      <c r="G38" s="169">
        <f t="shared" si="13"/>
        <v>6.1538461538461542</v>
      </c>
      <c r="H38" s="169">
        <f t="shared" si="14"/>
        <v>6.9230769230769234</v>
      </c>
      <c r="I38" s="169">
        <f t="shared" si="15"/>
        <v>6.5384615384615383</v>
      </c>
      <c r="J38" s="113"/>
    </row>
    <row r="39" spans="1:10" s="114" customFormat="1">
      <c r="A39" s="172"/>
      <c r="B39" s="178"/>
      <c r="C39" s="115" t="s">
        <v>183</v>
      </c>
      <c r="D39" s="116">
        <v>2000</v>
      </c>
      <c r="E39" s="116">
        <v>2500</v>
      </c>
      <c r="F39" s="116">
        <f t="shared" si="9"/>
        <v>2250</v>
      </c>
      <c r="G39" s="169">
        <f t="shared" si="13"/>
        <v>3.0769230769230771</v>
      </c>
      <c r="H39" s="169">
        <f t="shared" si="14"/>
        <v>3.8461538461538463</v>
      </c>
      <c r="I39" s="169">
        <f t="shared" si="15"/>
        <v>3.4615384615384617</v>
      </c>
      <c r="J39" s="113"/>
    </row>
    <row r="40" spans="1:10" s="114" customFormat="1">
      <c r="A40" s="172"/>
      <c r="B40" s="178"/>
      <c r="C40" s="115" t="s">
        <v>184</v>
      </c>
      <c r="D40" s="116">
        <v>27500</v>
      </c>
      <c r="E40" s="116">
        <v>30000</v>
      </c>
      <c r="F40" s="116">
        <f t="shared" si="9"/>
        <v>28750</v>
      </c>
      <c r="G40" s="169">
        <f t="shared" si="13"/>
        <v>42.307692307692307</v>
      </c>
      <c r="H40" s="169">
        <f t="shared" si="14"/>
        <v>46.153846153846153</v>
      </c>
      <c r="I40" s="169">
        <f t="shared" si="15"/>
        <v>44.230769230769234</v>
      </c>
      <c r="J40" s="113"/>
    </row>
    <row r="41" spans="1:10" s="114" customFormat="1">
      <c r="A41" s="172"/>
      <c r="B41" s="178"/>
      <c r="C41" s="115" t="s">
        <v>205</v>
      </c>
      <c r="D41" s="116">
        <v>750</v>
      </c>
      <c r="E41" s="116">
        <v>1000</v>
      </c>
      <c r="F41" s="116">
        <f t="shared" si="9"/>
        <v>875</v>
      </c>
      <c r="G41" s="169">
        <f t="shared" si="13"/>
        <v>1.1538461538461537</v>
      </c>
      <c r="H41" s="169">
        <f t="shared" si="14"/>
        <v>1.5384615384615385</v>
      </c>
      <c r="I41" s="169">
        <f t="shared" si="15"/>
        <v>1.3461538461538463</v>
      </c>
      <c r="J41" s="113"/>
    </row>
    <row r="42" spans="1:10" s="114" customFormat="1">
      <c r="A42" s="172"/>
      <c r="B42" s="178"/>
      <c r="C42" s="115" t="s">
        <v>187</v>
      </c>
      <c r="D42" s="116">
        <v>2000</v>
      </c>
      <c r="E42" s="116">
        <v>2500</v>
      </c>
      <c r="F42" s="116">
        <f t="shared" si="9"/>
        <v>2250</v>
      </c>
      <c r="G42" s="169">
        <f t="shared" si="13"/>
        <v>3.0769230769230771</v>
      </c>
      <c r="H42" s="169">
        <f t="shared" si="14"/>
        <v>3.8461538461538463</v>
      </c>
      <c r="I42" s="169">
        <f t="shared" si="15"/>
        <v>3.4615384615384617</v>
      </c>
      <c r="J42" s="113"/>
    </row>
    <row r="43" spans="1:10" s="114" customFormat="1">
      <c r="A43" s="172"/>
      <c r="B43" s="178"/>
      <c r="C43" s="115" t="s">
        <v>185</v>
      </c>
      <c r="D43" s="116">
        <v>2500</v>
      </c>
      <c r="E43" s="116">
        <v>3000</v>
      </c>
      <c r="F43" s="116">
        <f t="shared" si="9"/>
        <v>2750</v>
      </c>
      <c r="G43" s="169">
        <f t="shared" si="13"/>
        <v>3.8461538461538463</v>
      </c>
      <c r="H43" s="169">
        <f t="shared" si="14"/>
        <v>4.615384615384615</v>
      </c>
      <c r="I43" s="169">
        <f t="shared" si="15"/>
        <v>4.2307692307692308</v>
      </c>
      <c r="J43" s="113"/>
    </row>
    <row r="44" spans="1:10" s="114" customFormat="1">
      <c r="A44" s="172"/>
      <c r="B44" s="179"/>
      <c r="C44" s="115" t="s">
        <v>186</v>
      </c>
      <c r="D44" s="116">
        <v>2500</v>
      </c>
      <c r="E44" s="116">
        <v>3000</v>
      </c>
      <c r="F44" s="116">
        <f t="shared" si="9"/>
        <v>2750</v>
      </c>
      <c r="G44" s="169">
        <f t="shared" si="13"/>
        <v>3.8461538461538463</v>
      </c>
      <c r="H44" s="169">
        <f t="shared" si="14"/>
        <v>4.615384615384615</v>
      </c>
      <c r="I44" s="169">
        <f t="shared" si="15"/>
        <v>4.2307692307692308</v>
      </c>
      <c r="J44" s="113"/>
    </row>
    <row r="45" spans="1:10" s="114" customFormat="1" ht="45">
      <c r="A45" s="172"/>
      <c r="B45" s="122" t="s">
        <v>3</v>
      </c>
      <c r="C45" s="115" t="s">
        <v>188</v>
      </c>
      <c r="D45" s="116">
        <v>150000</v>
      </c>
      <c r="E45" s="116">
        <v>200000</v>
      </c>
      <c r="F45" s="116">
        <f>AVERAGE(D45:E45)</f>
        <v>175000</v>
      </c>
      <c r="G45" s="169">
        <f t="shared" si="13"/>
        <v>230.76923076923077</v>
      </c>
      <c r="H45" s="169">
        <f t="shared" si="14"/>
        <v>307.69230769230768</v>
      </c>
      <c r="I45" s="169">
        <f t="shared" si="15"/>
        <v>269.23076923076923</v>
      </c>
      <c r="J45" s="113"/>
    </row>
    <row r="46" spans="1:10" s="114" customFormat="1" ht="90" customHeight="1">
      <c r="A46" s="173"/>
      <c r="B46" s="123" t="s">
        <v>34</v>
      </c>
      <c r="C46" s="115" t="s">
        <v>206</v>
      </c>
      <c r="D46" s="116">
        <v>1500</v>
      </c>
      <c r="E46" s="116">
        <v>3000</v>
      </c>
      <c r="F46" s="116">
        <f>AVERAGE(D46:E46)</f>
        <v>2250</v>
      </c>
      <c r="G46" s="169">
        <f t="shared" si="13"/>
        <v>2.3076923076923075</v>
      </c>
      <c r="H46" s="169">
        <f t="shared" si="14"/>
        <v>4.615384615384615</v>
      </c>
      <c r="I46" s="169">
        <f t="shared" si="15"/>
        <v>3.4615384615384617</v>
      </c>
      <c r="J46" s="113"/>
    </row>
    <row r="47" spans="1:10" s="114" customFormat="1" ht="30">
      <c r="A47" s="174" t="s">
        <v>4</v>
      </c>
      <c r="B47" s="122" t="s">
        <v>35</v>
      </c>
      <c r="C47" s="115" t="s">
        <v>189</v>
      </c>
      <c r="D47" s="116">
        <v>1857000</v>
      </c>
      <c r="E47" s="116">
        <v>8262400</v>
      </c>
      <c r="F47" s="116">
        <f t="shared" ref="F47:F49" si="16">AVERAGE(D47:E47)</f>
        <v>5059700</v>
      </c>
      <c r="G47" s="169">
        <f t="shared" si="13"/>
        <v>2856.9230769230771</v>
      </c>
      <c r="H47" s="169">
        <f t="shared" si="14"/>
        <v>12711.384615384615</v>
      </c>
      <c r="I47" s="169">
        <f t="shared" si="15"/>
        <v>7784.1538461538457</v>
      </c>
      <c r="J47" s="113"/>
    </row>
    <row r="48" spans="1:10" s="114" customFormat="1" ht="30">
      <c r="A48" s="175"/>
      <c r="B48" s="122" t="s">
        <v>36</v>
      </c>
      <c r="C48" s="115" t="s">
        <v>200</v>
      </c>
      <c r="D48" s="116">
        <v>1750000</v>
      </c>
      <c r="E48" s="116">
        <v>2989500</v>
      </c>
      <c r="F48" s="116">
        <f t="shared" si="16"/>
        <v>2369750</v>
      </c>
      <c r="G48" s="169">
        <f t="shared" si="13"/>
        <v>2692.3076923076924</v>
      </c>
      <c r="H48" s="169">
        <f t="shared" si="14"/>
        <v>4599.2307692307695</v>
      </c>
      <c r="I48" s="169">
        <f t="shared" si="15"/>
        <v>3645.7692307692309</v>
      </c>
      <c r="J48" s="113"/>
    </row>
    <row r="49" spans="1:10" s="114" customFormat="1" ht="30">
      <c r="A49" s="175"/>
      <c r="B49" s="122" t="s">
        <v>37</v>
      </c>
      <c r="C49" s="115" t="s">
        <v>190</v>
      </c>
      <c r="D49" s="116">
        <v>7500000</v>
      </c>
      <c r="E49" s="116">
        <v>19577240</v>
      </c>
      <c r="F49" s="116">
        <f t="shared" si="16"/>
        <v>13538620</v>
      </c>
      <c r="G49" s="169">
        <f t="shared" si="13"/>
        <v>11538.461538461539</v>
      </c>
      <c r="H49" s="169">
        <f t="shared" si="14"/>
        <v>30118.830769230768</v>
      </c>
      <c r="I49" s="169">
        <f t="shared" si="15"/>
        <v>20828.646153846155</v>
      </c>
      <c r="J49" s="113"/>
    </row>
    <row r="50" spans="1:10" s="114" customFormat="1" ht="15" customHeight="1">
      <c r="A50" s="175"/>
      <c r="B50" s="177" t="s">
        <v>38</v>
      </c>
      <c r="C50" s="115" t="s">
        <v>191</v>
      </c>
      <c r="D50" s="116">
        <v>10000</v>
      </c>
      <c r="E50" s="116">
        <v>12000</v>
      </c>
      <c r="F50" s="116">
        <f>(10000+12000)/2</f>
        <v>11000</v>
      </c>
      <c r="G50" s="169">
        <f t="shared" si="13"/>
        <v>15.384615384615385</v>
      </c>
      <c r="H50" s="169">
        <f t="shared" si="14"/>
        <v>18.46153846153846</v>
      </c>
      <c r="I50" s="169">
        <f t="shared" si="15"/>
        <v>16.923076923076923</v>
      </c>
      <c r="J50" s="113"/>
    </row>
    <row r="51" spans="1:10" s="114" customFormat="1">
      <c r="A51" s="175"/>
      <c r="B51" s="178"/>
      <c r="C51" s="115" t="s">
        <v>193</v>
      </c>
      <c r="D51" s="116">
        <v>1000</v>
      </c>
      <c r="E51" s="116">
        <v>1500</v>
      </c>
      <c r="F51" s="116">
        <f>(1000+1500)/2</f>
        <v>1250</v>
      </c>
      <c r="G51" s="169">
        <f t="shared" si="13"/>
        <v>1.5384615384615385</v>
      </c>
      <c r="H51" s="169">
        <f t="shared" si="14"/>
        <v>2.3076923076923075</v>
      </c>
      <c r="I51" s="169">
        <f t="shared" si="15"/>
        <v>1.9230769230769231</v>
      </c>
      <c r="J51" s="113"/>
    </row>
    <row r="52" spans="1:10" s="114" customFormat="1">
      <c r="A52" s="175"/>
      <c r="B52" s="178"/>
      <c r="C52" s="115" t="s">
        <v>201</v>
      </c>
      <c r="D52" s="116">
        <v>42000</v>
      </c>
      <c r="E52" s="116">
        <v>45000</v>
      </c>
      <c r="F52" s="116">
        <f>(42000+45000)/2</f>
        <v>43500</v>
      </c>
      <c r="G52" s="169">
        <f t="shared" si="13"/>
        <v>64.615384615384613</v>
      </c>
      <c r="H52" s="169">
        <f t="shared" si="14"/>
        <v>69.230769230769226</v>
      </c>
      <c r="I52" s="169">
        <f t="shared" si="15"/>
        <v>66.92307692307692</v>
      </c>
      <c r="J52" s="113"/>
    </row>
    <row r="53" spans="1:10" s="114" customFormat="1" ht="30">
      <c r="A53" s="175"/>
      <c r="B53" s="178"/>
      <c r="C53" s="115" t="s">
        <v>202</v>
      </c>
      <c r="D53" s="116">
        <v>40000</v>
      </c>
      <c r="E53" s="116">
        <v>45000</v>
      </c>
      <c r="F53" s="116">
        <f>(40000+45000)/2</f>
        <v>42500</v>
      </c>
      <c r="G53" s="169">
        <f t="shared" si="13"/>
        <v>61.53846153846154</v>
      </c>
      <c r="H53" s="169">
        <f t="shared" si="14"/>
        <v>69.230769230769226</v>
      </c>
      <c r="I53" s="169">
        <f t="shared" si="15"/>
        <v>65.384615384615387</v>
      </c>
      <c r="J53" s="113"/>
    </row>
    <row r="54" spans="1:10" s="114" customFormat="1">
      <c r="A54" s="175"/>
      <c r="B54" s="178"/>
      <c r="C54" s="115" t="s">
        <v>195</v>
      </c>
      <c r="D54" s="116">
        <v>3000</v>
      </c>
      <c r="E54" s="116">
        <v>3500</v>
      </c>
      <c r="F54" s="116">
        <f>(3000+3500)/2</f>
        <v>3250</v>
      </c>
      <c r="G54" s="169">
        <f t="shared" si="13"/>
        <v>4.615384615384615</v>
      </c>
      <c r="H54" s="169">
        <f t="shared" si="14"/>
        <v>5.384615384615385</v>
      </c>
      <c r="I54" s="169">
        <f t="shared" si="15"/>
        <v>5</v>
      </c>
      <c r="J54" s="113"/>
    </row>
    <row r="55" spans="1:10" s="114" customFormat="1">
      <c r="A55" s="175"/>
      <c r="B55" s="178"/>
      <c r="C55" s="115" t="s">
        <v>196</v>
      </c>
      <c r="D55" s="116">
        <v>8000</v>
      </c>
      <c r="E55" s="116">
        <v>10000</v>
      </c>
      <c r="F55" s="116">
        <f>(8000+10000)/2</f>
        <v>9000</v>
      </c>
      <c r="G55" s="169">
        <f t="shared" si="13"/>
        <v>12.307692307692308</v>
      </c>
      <c r="H55" s="169">
        <f t="shared" si="14"/>
        <v>15.384615384615385</v>
      </c>
      <c r="I55" s="169">
        <f t="shared" si="15"/>
        <v>13.846153846153847</v>
      </c>
      <c r="J55" s="113"/>
    </row>
    <row r="56" spans="1:10" s="114" customFormat="1">
      <c r="A56" s="175"/>
      <c r="B56" s="178"/>
      <c r="C56" s="115" t="s">
        <v>194</v>
      </c>
      <c r="D56" s="116">
        <v>42000</v>
      </c>
      <c r="E56" s="116">
        <v>45000</v>
      </c>
      <c r="F56" s="116">
        <f>(42000+45000)/2</f>
        <v>43500</v>
      </c>
      <c r="G56" s="169">
        <f t="shared" si="13"/>
        <v>64.615384615384613</v>
      </c>
      <c r="H56" s="169">
        <f t="shared" si="14"/>
        <v>69.230769230769226</v>
      </c>
      <c r="I56" s="169">
        <f t="shared" si="15"/>
        <v>66.92307692307692</v>
      </c>
      <c r="J56" s="113"/>
    </row>
    <row r="57" spans="1:10" s="114" customFormat="1" ht="30">
      <c r="A57" s="175"/>
      <c r="B57" s="179"/>
      <c r="C57" s="115" t="s">
        <v>192</v>
      </c>
      <c r="D57" s="116">
        <v>26000</v>
      </c>
      <c r="E57" s="116">
        <v>27000</v>
      </c>
      <c r="F57" s="116">
        <f>(26000+27000)/2</f>
        <v>26500</v>
      </c>
      <c r="G57" s="169">
        <f t="shared" si="13"/>
        <v>40</v>
      </c>
      <c r="H57" s="169">
        <f t="shared" si="14"/>
        <v>41.53846153846154</v>
      </c>
      <c r="I57" s="169">
        <f t="shared" si="15"/>
        <v>40.769230769230766</v>
      </c>
      <c r="J57" s="113"/>
    </row>
    <row r="58" spans="1:10" s="114" customFormat="1" ht="15" customHeight="1">
      <c r="A58" s="175"/>
      <c r="B58" s="177" t="s">
        <v>39</v>
      </c>
      <c r="C58" s="115" t="s">
        <v>186</v>
      </c>
      <c r="D58" s="116">
        <v>2500</v>
      </c>
      <c r="E58" s="116">
        <v>3000</v>
      </c>
      <c r="F58" s="116">
        <f>(2500+3000)/2</f>
        <v>2750</v>
      </c>
      <c r="G58" s="169">
        <f t="shared" si="13"/>
        <v>3.8461538461538463</v>
      </c>
      <c r="H58" s="169">
        <f t="shared" si="14"/>
        <v>4.615384615384615</v>
      </c>
      <c r="I58" s="169">
        <f t="shared" si="15"/>
        <v>4.2307692307692308</v>
      </c>
      <c r="J58" s="113"/>
    </row>
    <row r="59" spans="1:10" s="114" customFormat="1">
      <c r="A59" s="175"/>
      <c r="B59" s="178"/>
      <c r="C59" s="115" t="s">
        <v>197</v>
      </c>
      <c r="D59" s="116">
        <v>7000</v>
      </c>
      <c r="E59" s="116">
        <v>7500</v>
      </c>
      <c r="F59" s="116">
        <f>(7000+7500)/2</f>
        <v>7250</v>
      </c>
      <c r="G59" s="169">
        <f t="shared" si="13"/>
        <v>10.76923076923077</v>
      </c>
      <c r="H59" s="169">
        <f t="shared" si="14"/>
        <v>11.538461538461538</v>
      </c>
      <c r="I59" s="169">
        <f t="shared" si="15"/>
        <v>11.153846153846153</v>
      </c>
      <c r="J59" s="113"/>
    </row>
    <row r="60" spans="1:10" s="114" customFormat="1">
      <c r="A60" s="175"/>
      <c r="B60" s="178"/>
      <c r="C60" s="115" t="s">
        <v>199</v>
      </c>
      <c r="D60" s="116">
        <v>2000</v>
      </c>
      <c r="E60" s="116">
        <v>2500</v>
      </c>
      <c r="F60" s="116">
        <f>(2000+2500)/2</f>
        <v>2250</v>
      </c>
      <c r="G60" s="169">
        <f t="shared" si="13"/>
        <v>3.0769230769230771</v>
      </c>
      <c r="H60" s="169">
        <f t="shared" si="14"/>
        <v>3.8461538461538463</v>
      </c>
      <c r="I60" s="169">
        <f t="shared" si="15"/>
        <v>3.4615384615384617</v>
      </c>
      <c r="J60" s="113"/>
    </row>
    <row r="61" spans="1:10" s="114" customFormat="1">
      <c r="A61" s="175"/>
      <c r="B61" s="178"/>
      <c r="C61" s="115" t="s">
        <v>185</v>
      </c>
      <c r="D61" s="116">
        <v>2500</v>
      </c>
      <c r="E61" s="116">
        <v>3000</v>
      </c>
      <c r="F61" s="116">
        <f>(2500+3000)/2</f>
        <v>2750</v>
      </c>
      <c r="G61" s="169">
        <f t="shared" si="13"/>
        <v>3.8461538461538463</v>
      </c>
      <c r="H61" s="169">
        <f t="shared" si="14"/>
        <v>4.615384615384615</v>
      </c>
      <c r="I61" s="169">
        <f t="shared" si="15"/>
        <v>4.2307692307692308</v>
      </c>
      <c r="J61" s="113"/>
    </row>
    <row r="62" spans="1:10" s="114" customFormat="1">
      <c r="A62" s="175"/>
      <c r="B62" s="179"/>
      <c r="C62" s="115" t="s">
        <v>198</v>
      </c>
      <c r="D62" s="116">
        <v>27500</v>
      </c>
      <c r="E62" s="116">
        <v>30000</v>
      </c>
      <c r="F62" s="116">
        <f>(27500+30000)/2</f>
        <v>28750</v>
      </c>
      <c r="G62" s="169">
        <f t="shared" si="13"/>
        <v>42.307692307692307</v>
      </c>
      <c r="H62" s="169">
        <f t="shared" si="14"/>
        <v>46.153846153846153</v>
      </c>
      <c r="I62" s="169">
        <f t="shared" si="15"/>
        <v>44.230769230769234</v>
      </c>
      <c r="J62" s="113"/>
    </row>
    <row r="63" spans="1:10" s="114" customFormat="1" ht="45">
      <c r="A63" s="175"/>
      <c r="B63" s="122" t="s">
        <v>40</v>
      </c>
      <c r="C63" s="115" t="s">
        <v>207</v>
      </c>
      <c r="D63" s="116">
        <v>100000</v>
      </c>
      <c r="E63" s="116">
        <v>150000</v>
      </c>
      <c r="F63" s="116">
        <f>(100000+150000)/2</f>
        <v>125000</v>
      </c>
      <c r="G63" s="169">
        <f t="shared" si="13"/>
        <v>153.84615384615384</v>
      </c>
      <c r="H63" s="169">
        <f t="shared" si="14"/>
        <v>230.76923076923077</v>
      </c>
      <c r="I63" s="169">
        <f t="shared" si="15"/>
        <v>192.30769230769232</v>
      </c>
      <c r="J63" s="113"/>
    </row>
    <row r="64" spans="1:10" s="114" customFormat="1" ht="45">
      <c r="A64" s="176"/>
      <c r="B64" s="122" t="s">
        <v>41</v>
      </c>
      <c r="C64" s="115" t="s">
        <v>208</v>
      </c>
      <c r="D64" s="116">
        <v>150000</v>
      </c>
      <c r="E64" s="116">
        <v>200000</v>
      </c>
      <c r="F64" s="116">
        <f>(150000+200000)/2</f>
        <v>175000</v>
      </c>
      <c r="G64" s="169">
        <f t="shared" si="13"/>
        <v>230.76923076923077</v>
      </c>
      <c r="H64" s="169">
        <f t="shared" si="14"/>
        <v>307.69230769230768</v>
      </c>
      <c r="I64" s="169">
        <f t="shared" si="15"/>
        <v>269.23076923076923</v>
      </c>
      <c r="J64" s="113"/>
    </row>
    <row r="65" spans="1:10" s="114" customFormat="1" ht="44.25" customHeight="1">
      <c r="A65" s="212" t="s">
        <v>42</v>
      </c>
      <c r="B65" s="124" t="s">
        <v>43</v>
      </c>
      <c r="C65" s="148" t="s">
        <v>204</v>
      </c>
      <c r="D65" s="116">
        <v>2000</v>
      </c>
      <c r="E65" s="116">
        <v>2500</v>
      </c>
      <c r="F65" s="116">
        <f>(2000+2500)/2</f>
        <v>2250</v>
      </c>
      <c r="G65" s="169">
        <f t="shared" si="13"/>
        <v>3.0769230769230771</v>
      </c>
      <c r="H65" s="169">
        <f t="shared" si="14"/>
        <v>3.8461538461538463</v>
      </c>
      <c r="I65" s="169">
        <f t="shared" si="15"/>
        <v>3.4615384615384617</v>
      </c>
      <c r="J65" s="113"/>
    </row>
    <row r="66" spans="1:10" s="114" customFormat="1" ht="60">
      <c r="A66" s="213"/>
      <c r="B66" s="135" t="s">
        <v>44</v>
      </c>
      <c r="C66" s="115" t="s">
        <v>203</v>
      </c>
      <c r="D66" s="149">
        <v>250000</v>
      </c>
      <c r="E66" s="149">
        <v>300000</v>
      </c>
      <c r="F66" s="149">
        <f>(250000+300000)/2</f>
        <v>275000</v>
      </c>
      <c r="G66" s="169">
        <f t="shared" si="13"/>
        <v>384.61538461538464</v>
      </c>
      <c r="H66" s="169">
        <f t="shared" si="14"/>
        <v>461.53846153846155</v>
      </c>
      <c r="I66" s="169">
        <f t="shared" si="15"/>
        <v>423.07692307692309</v>
      </c>
      <c r="J66" s="136"/>
    </row>
    <row r="67" spans="1:10" s="114" customFormat="1" ht="23.25" customHeight="1">
      <c r="A67" s="203" t="s">
        <v>216</v>
      </c>
      <c r="B67" s="204"/>
      <c r="C67" s="204"/>
      <c r="D67" s="204"/>
      <c r="E67" s="204"/>
      <c r="F67" s="204"/>
      <c r="G67" s="204"/>
      <c r="H67" s="204"/>
      <c r="I67" s="204"/>
      <c r="J67" s="205"/>
    </row>
    <row r="68" spans="1:10" s="114" customFormat="1" ht="15" customHeight="1">
      <c r="A68" s="223" t="s">
        <v>5</v>
      </c>
      <c r="B68" s="184" t="s">
        <v>6</v>
      </c>
      <c r="C68" s="150" t="s">
        <v>218</v>
      </c>
      <c r="D68" s="151">
        <v>7000</v>
      </c>
      <c r="E68" s="151">
        <v>20000</v>
      </c>
      <c r="F68" s="151">
        <f>AVERAGE(D68:E68)</f>
        <v>13500</v>
      </c>
      <c r="G68" s="169">
        <f t="shared" ref="G68" si="17">D68/650</f>
        <v>10.76923076923077</v>
      </c>
      <c r="H68" s="169">
        <f t="shared" ref="H68" si="18">E68/650</f>
        <v>30.76923076923077</v>
      </c>
      <c r="I68" s="169">
        <f t="shared" ref="I68" si="19">F68/650</f>
        <v>20.76923076923077</v>
      </c>
      <c r="J68" s="152"/>
    </row>
    <row r="69" spans="1:10" s="114" customFormat="1">
      <c r="A69" s="238"/>
      <c r="B69" s="185"/>
      <c r="C69" s="150" t="s">
        <v>219</v>
      </c>
      <c r="D69" s="151">
        <v>6500</v>
      </c>
      <c r="E69" s="151">
        <v>10000</v>
      </c>
      <c r="F69" s="151">
        <f t="shared" ref="F69:F109" si="20">AVERAGE(D69:E69)</f>
        <v>8250</v>
      </c>
      <c r="G69" s="169">
        <f t="shared" ref="G69:G132" si="21">D69/650</f>
        <v>10</v>
      </c>
      <c r="H69" s="169">
        <f t="shared" ref="H69:H132" si="22">E69/650</f>
        <v>15.384615384615385</v>
      </c>
      <c r="I69" s="169">
        <f t="shared" ref="I69:I132" si="23">F69/650</f>
        <v>12.692307692307692</v>
      </c>
      <c r="J69" s="152"/>
    </row>
    <row r="70" spans="1:10" s="114" customFormat="1">
      <c r="A70" s="238"/>
      <c r="B70" s="185"/>
      <c r="C70" s="150" t="s">
        <v>220</v>
      </c>
      <c r="D70" s="151">
        <v>1000</v>
      </c>
      <c r="E70" s="151">
        <v>1500</v>
      </c>
      <c r="F70" s="151">
        <f t="shared" si="20"/>
        <v>1250</v>
      </c>
      <c r="G70" s="169">
        <f t="shared" si="21"/>
        <v>1.5384615384615385</v>
      </c>
      <c r="H70" s="169">
        <f t="shared" si="22"/>
        <v>2.3076923076923075</v>
      </c>
      <c r="I70" s="169">
        <f t="shared" si="23"/>
        <v>1.9230769230769231</v>
      </c>
      <c r="J70" s="152"/>
    </row>
    <row r="71" spans="1:10" s="114" customFormat="1">
      <c r="A71" s="238"/>
      <c r="B71" s="185"/>
      <c r="C71" s="150" t="s">
        <v>221</v>
      </c>
      <c r="D71" s="151">
        <v>500</v>
      </c>
      <c r="E71" s="151">
        <v>1000</v>
      </c>
      <c r="F71" s="151">
        <f t="shared" si="20"/>
        <v>750</v>
      </c>
      <c r="G71" s="169">
        <f t="shared" si="21"/>
        <v>0.76923076923076927</v>
      </c>
      <c r="H71" s="169">
        <f t="shared" si="22"/>
        <v>1.5384615384615385</v>
      </c>
      <c r="I71" s="169">
        <f t="shared" si="23"/>
        <v>1.1538461538461537</v>
      </c>
      <c r="J71" s="152"/>
    </row>
    <row r="72" spans="1:10" s="114" customFormat="1">
      <c r="A72" s="238"/>
      <c r="B72" s="186"/>
      <c r="C72" s="150" t="s">
        <v>222</v>
      </c>
      <c r="D72" s="151">
        <v>7000</v>
      </c>
      <c r="E72" s="151">
        <v>10000</v>
      </c>
      <c r="F72" s="151">
        <f t="shared" si="20"/>
        <v>8500</v>
      </c>
      <c r="G72" s="169">
        <f t="shared" si="21"/>
        <v>10.76923076923077</v>
      </c>
      <c r="H72" s="169">
        <f t="shared" si="22"/>
        <v>15.384615384615385</v>
      </c>
      <c r="I72" s="169">
        <f t="shared" si="23"/>
        <v>13.076923076923077</v>
      </c>
      <c r="J72" s="152"/>
    </row>
    <row r="73" spans="1:10" s="114" customFormat="1">
      <c r="A73" s="238"/>
      <c r="B73" s="239" t="s">
        <v>7</v>
      </c>
      <c r="C73" s="150" t="s">
        <v>223</v>
      </c>
      <c r="D73" s="151">
        <v>7000</v>
      </c>
      <c r="E73" s="151">
        <v>8000</v>
      </c>
      <c r="F73" s="151">
        <f t="shared" si="20"/>
        <v>7500</v>
      </c>
      <c r="G73" s="169">
        <f t="shared" si="21"/>
        <v>10.76923076923077</v>
      </c>
      <c r="H73" s="169">
        <f t="shared" si="22"/>
        <v>12.307692307692308</v>
      </c>
      <c r="I73" s="169">
        <f t="shared" si="23"/>
        <v>11.538461538461538</v>
      </c>
      <c r="J73" s="152"/>
    </row>
    <row r="74" spans="1:10" s="114" customFormat="1" ht="30">
      <c r="A74" s="238"/>
      <c r="B74" s="240"/>
      <c r="C74" s="150" t="s">
        <v>224</v>
      </c>
      <c r="D74" s="151">
        <v>2000</v>
      </c>
      <c r="E74" s="151">
        <v>2500</v>
      </c>
      <c r="F74" s="151">
        <f>AVERAGE(D74:E74)</f>
        <v>2250</v>
      </c>
      <c r="G74" s="169">
        <f t="shared" si="21"/>
        <v>3.0769230769230771</v>
      </c>
      <c r="H74" s="169">
        <f t="shared" si="22"/>
        <v>3.8461538461538463</v>
      </c>
      <c r="I74" s="169">
        <f t="shared" si="23"/>
        <v>3.4615384615384617</v>
      </c>
      <c r="J74" s="152"/>
    </row>
    <row r="75" spans="1:10" s="114" customFormat="1" ht="30">
      <c r="A75" s="238"/>
      <c r="B75" s="240"/>
      <c r="C75" s="150" t="s">
        <v>225</v>
      </c>
      <c r="D75" s="151">
        <v>2000</v>
      </c>
      <c r="E75" s="151">
        <v>2500</v>
      </c>
      <c r="F75" s="151">
        <f t="shared" si="20"/>
        <v>2250</v>
      </c>
      <c r="G75" s="169">
        <f t="shared" si="21"/>
        <v>3.0769230769230771</v>
      </c>
      <c r="H75" s="169">
        <f t="shared" si="22"/>
        <v>3.8461538461538463</v>
      </c>
      <c r="I75" s="169">
        <f t="shared" si="23"/>
        <v>3.4615384615384617</v>
      </c>
      <c r="J75" s="152"/>
    </row>
    <row r="76" spans="1:10" s="114" customFormat="1" ht="30">
      <c r="A76" s="238"/>
      <c r="B76" s="240"/>
      <c r="C76" s="150" t="s">
        <v>226</v>
      </c>
      <c r="D76" s="151">
        <v>7000</v>
      </c>
      <c r="E76" s="151">
        <v>9000</v>
      </c>
      <c r="F76" s="151">
        <f t="shared" si="20"/>
        <v>8000</v>
      </c>
      <c r="G76" s="169">
        <f t="shared" si="21"/>
        <v>10.76923076923077</v>
      </c>
      <c r="H76" s="169">
        <f t="shared" si="22"/>
        <v>13.846153846153847</v>
      </c>
      <c r="I76" s="169">
        <f t="shared" si="23"/>
        <v>12.307692307692308</v>
      </c>
      <c r="J76" s="152"/>
    </row>
    <row r="77" spans="1:10" s="114" customFormat="1">
      <c r="A77" s="238"/>
      <c r="B77" s="240"/>
      <c r="C77" s="150" t="s">
        <v>227</v>
      </c>
      <c r="D77" s="151">
        <v>4000</v>
      </c>
      <c r="E77" s="151">
        <v>5000</v>
      </c>
      <c r="F77" s="151">
        <f t="shared" si="20"/>
        <v>4500</v>
      </c>
      <c r="G77" s="169">
        <f t="shared" si="21"/>
        <v>6.1538461538461542</v>
      </c>
      <c r="H77" s="169">
        <f t="shared" si="22"/>
        <v>7.6923076923076925</v>
      </c>
      <c r="I77" s="169">
        <f t="shared" si="23"/>
        <v>6.9230769230769234</v>
      </c>
      <c r="J77" s="152"/>
    </row>
    <row r="78" spans="1:10" s="114" customFormat="1">
      <c r="A78" s="238"/>
      <c r="B78" s="240"/>
      <c r="C78" s="150" t="s">
        <v>228</v>
      </c>
      <c r="D78" s="151">
        <v>1700</v>
      </c>
      <c r="E78" s="151">
        <v>2500</v>
      </c>
      <c r="F78" s="151">
        <f>AVERAGE(D78:E78)</f>
        <v>2100</v>
      </c>
      <c r="G78" s="169">
        <f t="shared" si="21"/>
        <v>2.6153846153846154</v>
      </c>
      <c r="H78" s="169">
        <f t="shared" si="22"/>
        <v>3.8461538461538463</v>
      </c>
      <c r="I78" s="169">
        <f t="shared" si="23"/>
        <v>3.2307692307692308</v>
      </c>
      <c r="J78" s="152"/>
    </row>
    <row r="79" spans="1:10" s="114" customFormat="1" ht="30">
      <c r="A79" s="238"/>
      <c r="B79" s="241"/>
      <c r="C79" s="150" t="s">
        <v>229</v>
      </c>
      <c r="D79" s="151">
        <v>112500</v>
      </c>
      <c r="E79" s="151">
        <v>225000</v>
      </c>
      <c r="F79" s="151">
        <f t="shared" si="20"/>
        <v>168750</v>
      </c>
      <c r="G79" s="169">
        <f t="shared" si="21"/>
        <v>173.07692307692307</v>
      </c>
      <c r="H79" s="169">
        <f t="shared" si="22"/>
        <v>346.15384615384613</v>
      </c>
      <c r="I79" s="169">
        <f t="shared" si="23"/>
        <v>259.61538461538464</v>
      </c>
      <c r="J79" s="152"/>
    </row>
    <row r="80" spans="1:10" s="114" customFormat="1" ht="45">
      <c r="A80" s="238"/>
      <c r="B80" s="153" t="s">
        <v>8</v>
      </c>
      <c r="C80" s="150" t="s">
        <v>230</v>
      </c>
      <c r="D80" s="151">
        <v>100</v>
      </c>
      <c r="E80" s="151">
        <v>250</v>
      </c>
      <c r="F80" s="151">
        <f t="shared" si="20"/>
        <v>175</v>
      </c>
      <c r="G80" s="169">
        <f t="shared" si="21"/>
        <v>0.15384615384615385</v>
      </c>
      <c r="H80" s="169">
        <f t="shared" si="22"/>
        <v>0.38461538461538464</v>
      </c>
      <c r="I80" s="169">
        <f t="shared" si="23"/>
        <v>0.26923076923076922</v>
      </c>
      <c r="J80" s="152"/>
    </row>
    <row r="81" spans="1:10" s="114" customFormat="1" ht="30">
      <c r="A81" s="238"/>
      <c r="B81" s="184" t="s">
        <v>9</v>
      </c>
      <c r="C81" s="150" t="s">
        <v>231</v>
      </c>
      <c r="D81" s="154">
        <v>10000000</v>
      </c>
      <c r="E81" s="151">
        <v>15000000</v>
      </c>
      <c r="F81" s="151">
        <f t="shared" si="20"/>
        <v>12500000</v>
      </c>
      <c r="G81" s="169">
        <f t="shared" si="21"/>
        <v>15384.615384615385</v>
      </c>
      <c r="H81" s="169">
        <f t="shared" si="22"/>
        <v>23076.923076923078</v>
      </c>
      <c r="I81" s="169">
        <f t="shared" si="23"/>
        <v>19230.76923076923</v>
      </c>
      <c r="J81" s="152"/>
    </row>
    <row r="82" spans="1:10" s="114" customFormat="1" ht="45">
      <c r="A82" s="238"/>
      <c r="B82" s="185"/>
      <c r="C82" s="150" t="s">
        <v>232</v>
      </c>
      <c r="D82" s="155">
        <v>0.25</v>
      </c>
      <c r="E82" s="155">
        <v>0.5</v>
      </c>
      <c r="F82" s="151">
        <v>0</v>
      </c>
      <c r="G82" s="169">
        <f t="shared" si="21"/>
        <v>3.8461538461538462E-4</v>
      </c>
      <c r="H82" s="169">
        <f t="shared" si="22"/>
        <v>7.6923076923076923E-4</v>
      </c>
      <c r="I82" s="169">
        <f t="shared" si="23"/>
        <v>0</v>
      </c>
      <c r="J82" s="156" t="s">
        <v>233</v>
      </c>
    </row>
    <row r="83" spans="1:10" s="114" customFormat="1" ht="45">
      <c r="A83" s="238"/>
      <c r="B83" s="185"/>
      <c r="C83" s="150" t="s">
        <v>290</v>
      </c>
      <c r="D83" s="151">
        <v>300000</v>
      </c>
      <c r="E83" s="151">
        <v>1500000</v>
      </c>
      <c r="F83" s="151">
        <f>AVERAGE(D83:E83)</f>
        <v>900000</v>
      </c>
      <c r="G83" s="169">
        <f t="shared" si="21"/>
        <v>461.53846153846155</v>
      </c>
      <c r="H83" s="169">
        <f t="shared" si="22"/>
        <v>2307.6923076923076</v>
      </c>
      <c r="I83" s="169">
        <f t="shared" si="23"/>
        <v>1384.6153846153845</v>
      </c>
      <c r="J83" s="187" t="s">
        <v>293</v>
      </c>
    </row>
    <row r="84" spans="1:10" s="114" customFormat="1" ht="30">
      <c r="A84" s="238"/>
      <c r="B84" s="185"/>
      <c r="C84" s="150" t="s">
        <v>291</v>
      </c>
      <c r="D84" s="151">
        <v>500000</v>
      </c>
      <c r="E84" s="151">
        <v>700000</v>
      </c>
      <c r="F84" s="151">
        <f t="shared" si="20"/>
        <v>600000</v>
      </c>
      <c r="G84" s="169">
        <f t="shared" si="21"/>
        <v>769.23076923076928</v>
      </c>
      <c r="H84" s="169">
        <f t="shared" si="22"/>
        <v>1076.9230769230769</v>
      </c>
      <c r="I84" s="169">
        <f t="shared" si="23"/>
        <v>923.07692307692309</v>
      </c>
      <c r="J84" s="242"/>
    </row>
    <row r="85" spans="1:10" s="114" customFormat="1" ht="30">
      <c r="A85" s="238"/>
      <c r="B85" s="185"/>
      <c r="C85" s="150" t="s">
        <v>292</v>
      </c>
      <c r="D85" s="151">
        <v>2000000</v>
      </c>
      <c r="E85" s="151">
        <v>3000000</v>
      </c>
      <c r="F85" s="151">
        <f t="shared" si="20"/>
        <v>2500000</v>
      </c>
      <c r="G85" s="169">
        <f t="shared" si="21"/>
        <v>3076.9230769230771</v>
      </c>
      <c r="H85" s="169">
        <f t="shared" si="22"/>
        <v>4615.3846153846152</v>
      </c>
      <c r="I85" s="169">
        <f t="shared" si="23"/>
        <v>3846.1538461538462</v>
      </c>
      <c r="J85" s="242"/>
    </row>
    <row r="86" spans="1:10" s="114" customFormat="1" ht="30">
      <c r="A86" s="238"/>
      <c r="B86" s="185"/>
      <c r="C86" s="150" t="s">
        <v>234</v>
      </c>
      <c r="D86" s="151">
        <v>1000000</v>
      </c>
      <c r="E86" s="151">
        <v>1500000</v>
      </c>
      <c r="F86" s="151">
        <f>AVERAGE(D86:E86)</f>
        <v>1250000</v>
      </c>
      <c r="G86" s="169">
        <f t="shared" si="21"/>
        <v>1538.4615384615386</v>
      </c>
      <c r="H86" s="169">
        <f t="shared" si="22"/>
        <v>2307.6923076923076</v>
      </c>
      <c r="I86" s="169">
        <f t="shared" si="23"/>
        <v>1923.0769230769231</v>
      </c>
      <c r="J86" s="242"/>
    </row>
    <row r="87" spans="1:10" s="114" customFormat="1" ht="30">
      <c r="A87" s="238"/>
      <c r="B87" s="185"/>
      <c r="C87" s="150" t="s">
        <v>235</v>
      </c>
      <c r="D87" s="151">
        <v>300000</v>
      </c>
      <c r="E87" s="151">
        <v>400000</v>
      </c>
      <c r="F87" s="151">
        <f t="shared" si="20"/>
        <v>350000</v>
      </c>
      <c r="G87" s="169">
        <f t="shared" si="21"/>
        <v>461.53846153846155</v>
      </c>
      <c r="H87" s="169">
        <f t="shared" si="22"/>
        <v>615.38461538461536</v>
      </c>
      <c r="I87" s="169">
        <f t="shared" si="23"/>
        <v>538.46153846153845</v>
      </c>
      <c r="J87" s="188"/>
    </row>
    <row r="88" spans="1:10" s="114" customFormat="1">
      <c r="A88" s="238"/>
      <c r="B88" s="185"/>
      <c r="C88" s="150" t="s">
        <v>236</v>
      </c>
      <c r="D88" s="157">
        <v>25000000</v>
      </c>
      <c r="E88" s="151">
        <v>40000000</v>
      </c>
      <c r="F88" s="151">
        <f t="shared" si="20"/>
        <v>32500000</v>
      </c>
      <c r="G88" s="169">
        <f t="shared" si="21"/>
        <v>38461.538461538461</v>
      </c>
      <c r="H88" s="169">
        <f t="shared" si="22"/>
        <v>61538.461538461539</v>
      </c>
      <c r="I88" s="169">
        <f t="shared" si="23"/>
        <v>50000</v>
      </c>
      <c r="J88" s="152"/>
    </row>
    <row r="89" spans="1:10" s="114" customFormat="1" ht="30">
      <c r="A89" s="238"/>
      <c r="B89" s="186"/>
      <c r="C89" s="150" t="s">
        <v>294</v>
      </c>
      <c r="D89" s="151">
        <v>1500</v>
      </c>
      <c r="E89" s="151">
        <v>2000</v>
      </c>
      <c r="F89" s="151">
        <f t="shared" si="20"/>
        <v>1750</v>
      </c>
      <c r="G89" s="169">
        <f t="shared" si="21"/>
        <v>2.3076923076923075</v>
      </c>
      <c r="H89" s="169">
        <f t="shared" si="22"/>
        <v>3.0769230769230771</v>
      </c>
      <c r="I89" s="169">
        <f t="shared" si="23"/>
        <v>2.6923076923076925</v>
      </c>
      <c r="J89" s="152"/>
    </row>
    <row r="90" spans="1:10" s="114" customFormat="1" ht="30">
      <c r="A90" s="238"/>
      <c r="B90" s="184" t="s">
        <v>13</v>
      </c>
      <c r="C90" s="150" t="s">
        <v>237</v>
      </c>
      <c r="D90" s="151">
        <v>150000</v>
      </c>
      <c r="E90" s="151">
        <v>200000</v>
      </c>
      <c r="F90" s="151">
        <f t="shared" si="20"/>
        <v>175000</v>
      </c>
      <c r="G90" s="169">
        <f t="shared" si="21"/>
        <v>230.76923076923077</v>
      </c>
      <c r="H90" s="169">
        <f t="shared" si="22"/>
        <v>307.69230769230768</v>
      </c>
      <c r="I90" s="169">
        <f t="shared" si="23"/>
        <v>269.23076923076923</v>
      </c>
      <c r="J90" s="152"/>
    </row>
    <row r="91" spans="1:10" s="114" customFormat="1" ht="30">
      <c r="A91" s="238"/>
      <c r="B91" s="185"/>
      <c r="C91" s="150" t="s">
        <v>238</v>
      </c>
      <c r="D91" s="151">
        <v>100000</v>
      </c>
      <c r="E91" s="151">
        <v>150000</v>
      </c>
      <c r="F91" s="151">
        <f t="shared" si="20"/>
        <v>125000</v>
      </c>
      <c r="G91" s="169">
        <f t="shared" si="21"/>
        <v>153.84615384615384</v>
      </c>
      <c r="H91" s="169">
        <f t="shared" si="22"/>
        <v>230.76923076923077</v>
      </c>
      <c r="I91" s="169">
        <f t="shared" si="23"/>
        <v>192.30769230769232</v>
      </c>
      <c r="J91" s="152"/>
    </row>
    <row r="92" spans="1:10" s="114" customFormat="1" ht="45">
      <c r="A92" s="238"/>
      <c r="B92" s="186"/>
      <c r="C92" s="150" t="s">
        <v>239</v>
      </c>
      <c r="D92" s="151">
        <v>150000</v>
      </c>
      <c r="E92" s="151">
        <v>200000</v>
      </c>
      <c r="F92" s="151">
        <f>AVERAGE(D92:E92)</f>
        <v>175000</v>
      </c>
      <c r="G92" s="169">
        <f t="shared" si="21"/>
        <v>230.76923076923077</v>
      </c>
      <c r="H92" s="169">
        <f t="shared" si="22"/>
        <v>307.69230769230768</v>
      </c>
      <c r="I92" s="169">
        <f t="shared" si="23"/>
        <v>269.23076923076923</v>
      </c>
      <c r="J92" s="152"/>
    </row>
    <row r="93" spans="1:10" s="114" customFormat="1" ht="43.5" customHeight="1">
      <c r="A93" s="238"/>
      <c r="B93" s="184" t="s">
        <v>10</v>
      </c>
      <c r="C93" s="150" t="s">
        <v>295</v>
      </c>
      <c r="D93" s="151">
        <v>100000</v>
      </c>
      <c r="E93" s="151">
        <v>150000</v>
      </c>
      <c r="F93" s="151">
        <f t="shared" si="20"/>
        <v>125000</v>
      </c>
      <c r="G93" s="169">
        <f t="shared" si="21"/>
        <v>153.84615384615384</v>
      </c>
      <c r="H93" s="169">
        <f t="shared" si="22"/>
        <v>230.76923076923077</v>
      </c>
      <c r="I93" s="169">
        <f t="shared" si="23"/>
        <v>192.30769230769232</v>
      </c>
      <c r="J93" s="156" t="s">
        <v>240</v>
      </c>
    </row>
    <row r="94" spans="1:10" s="114" customFormat="1" ht="45">
      <c r="A94" s="238"/>
      <c r="B94" s="186"/>
      <c r="C94" s="150" t="s">
        <v>296</v>
      </c>
      <c r="D94" s="151">
        <v>150000</v>
      </c>
      <c r="E94" s="151">
        <v>200000</v>
      </c>
      <c r="F94" s="151">
        <f t="shared" si="20"/>
        <v>175000</v>
      </c>
      <c r="G94" s="169">
        <f t="shared" si="21"/>
        <v>230.76923076923077</v>
      </c>
      <c r="H94" s="169">
        <f t="shared" si="22"/>
        <v>307.69230769230768</v>
      </c>
      <c r="I94" s="169">
        <f t="shared" si="23"/>
        <v>269.23076923076923</v>
      </c>
      <c r="J94" s="158"/>
    </row>
    <row r="95" spans="1:10" ht="21.75" customHeight="1">
      <c r="A95" s="238"/>
      <c r="B95" s="184" t="s">
        <v>11</v>
      </c>
      <c r="C95" s="150" t="s">
        <v>241</v>
      </c>
      <c r="D95" s="151">
        <v>10000</v>
      </c>
      <c r="E95" s="151">
        <v>15000</v>
      </c>
      <c r="F95" s="151">
        <f t="shared" si="20"/>
        <v>12500</v>
      </c>
      <c r="G95" s="169">
        <f t="shared" si="21"/>
        <v>15.384615384615385</v>
      </c>
      <c r="H95" s="169">
        <f t="shared" si="22"/>
        <v>23.076923076923077</v>
      </c>
      <c r="I95" s="169">
        <f t="shared" si="23"/>
        <v>19.23076923076923</v>
      </c>
      <c r="J95" s="152"/>
    </row>
    <row r="96" spans="1:10" ht="18.75" customHeight="1">
      <c r="A96" s="238"/>
      <c r="B96" s="185"/>
      <c r="C96" s="165" t="s">
        <v>242</v>
      </c>
      <c r="D96" s="166"/>
      <c r="E96" s="166"/>
      <c r="F96" s="166">
        <v>0</v>
      </c>
      <c r="G96" s="169">
        <f t="shared" si="21"/>
        <v>0</v>
      </c>
      <c r="H96" s="169">
        <f t="shared" si="22"/>
        <v>0</v>
      </c>
      <c r="I96" s="169">
        <f t="shared" si="23"/>
        <v>0</v>
      </c>
      <c r="J96" s="167"/>
    </row>
    <row r="97" spans="1:10" ht="29.25" customHeight="1">
      <c r="A97" s="238"/>
      <c r="B97" s="186"/>
      <c r="C97" s="150" t="s">
        <v>243</v>
      </c>
      <c r="D97" s="151">
        <v>6000</v>
      </c>
      <c r="E97" s="151">
        <v>7500</v>
      </c>
      <c r="F97" s="151">
        <f t="shared" si="20"/>
        <v>6750</v>
      </c>
      <c r="G97" s="169">
        <f t="shared" si="21"/>
        <v>9.2307692307692299</v>
      </c>
      <c r="H97" s="169">
        <f t="shared" si="22"/>
        <v>11.538461538461538</v>
      </c>
      <c r="I97" s="169">
        <f t="shared" si="23"/>
        <v>10.384615384615385</v>
      </c>
      <c r="J97" s="152"/>
    </row>
    <row r="98" spans="1:10" ht="21" customHeight="1">
      <c r="A98" s="238"/>
      <c r="B98" s="184" t="s">
        <v>12</v>
      </c>
      <c r="C98" s="150" t="s">
        <v>244</v>
      </c>
      <c r="D98" s="151">
        <v>150000</v>
      </c>
      <c r="E98" s="151">
        <v>190000</v>
      </c>
      <c r="F98" s="151">
        <f t="shared" si="20"/>
        <v>170000</v>
      </c>
      <c r="G98" s="169">
        <f t="shared" si="21"/>
        <v>230.76923076923077</v>
      </c>
      <c r="H98" s="169">
        <f t="shared" si="22"/>
        <v>292.30769230769232</v>
      </c>
      <c r="I98" s="169">
        <f t="shared" si="23"/>
        <v>261.53846153846155</v>
      </c>
      <c r="J98" s="152"/>
    </row>
    <row r="99" spans="1:10" ht="34.5" customHeight="1">
      <c r="A99" s="238"/>
      <c r="B99" s="185"/>
      <c r="C99" s="150" t="s">
        <v>303</v>
      </c>
      <c r="D99" s="151">
        <v>6000</v>
      </c>
      <c r="E99" s="151">
        <v>20000</v>
      </c>
      <c r="F99" s="151">
        <f t="shared" si="20"/>
        <v>13000</v>
      </c>
      <c r="G99" s="169">
        <f t="shared" si="21"/>
        <v>9.2307692307692299</v>
      </c>
      <c r="H99" s="169">
        <f t="shared" si="22"/>
        <v>30.76923076923077</v>
      </c>
      <c r="I99" s="169">
        <f t="shared" si="23"/>
        <v>20</v>
      </c>
      <c r="J99" s="152"/>
    </row>
    <row r="100" spans="1:10" ht="21" customHeight="1">
      <c r="A100" s="238"/>
      <c r="B100" s="186"/>
      <c r="C100" s="150" t="s">
        <v>245</v>
      </c>
      <c r="D100" s="151">
        <v>100000</v>
      </c>
      <c r="E100" s="151">
        <v>200000</v>
      </c>
      <c r="F100" s="151">
        <f t="shared" si="20"/>
        <v>150000</v>
      </c>
      <c r="G100" s="169">
        <f t="shared" si="21"/>
        <v>153.84615384615384</v>
      </c>
      <c r="H100" s="169">
        <f t="shared" si="22"/>
        <v>307.69230769230768</v>
      </c>
      <c r="I100" s="169">
        <f t="shared" si="23"/>
        <v>230.76923076923077</v>
      </c>
      <c r="J100" s="152"/>
    </row>
    <row r="101" spans="1:10" ht="31.5" customHeight="1">
      <c r="A101" s="238"/>
      <c r="B101" s="184" t="s">
        <v>45</v>
      </c>
      <c r="C101" s="150" t="s">
        <v>246</v>
      </c>
      <c r="D101" s="151">
        <v>52500</v>
      </c>
      <c r="E101" s="151">
        <v>60000</v>
      </c>
      <c r="F101" s="151">
        <f t="shared" si="20"/>
        <v>56250</v>
      </c>
      <c r="G101" s="169">
        <f t="shared" si="21"/>
        <v>80.769230769230774</v>
      </c>
      <c r="H101" s="169">
        <f t="shared" si="22"/>
        <v>92.307692307692307</v>
      </c>
      <c r="I101" s="169">
        <f t="shared" si="23"/>
        <v>86.538461538461533</v>
      </c>
      <c r="J101" s="182" t="s">
        <v>310</v>
      </c>
    </row>
    <row r="102" spans="1:10" ht="21" customHeight="1">
      <c r="A102" s="238"/>
      <c r="B102" s="185"/>
      <c r="C102" s="150" t="s">
        <v>247</v>
      </c>
      <c r="D102" s="151">
        <v>45000</v>
      </c>
      <c r="E102" s="151">
        <v>55000</v>
      </c>
      <c r="F102" s="151">
        <f>AVERAGE(D102:E102)</f>
        <v>50000</v>
      </c>
      <c r="G102" s="169">
        <f t="shared" si="21"/>
        <v>69.230769230769226</v>
      </c>
      <c r="H102" s="169">
        <f t="shared" si="22"/>
        <v>84.615384615384613</v>
      </c>
      <c r="I102" s="169">
        <f t="shared" si="23"/>
        <v>76.92307692307692</v>
      </c>
      <c r="J102" s="183"/>
    </row>
    <row r="103" spans="1:10" ht="36" customHeight="1">
      <c r="A103" s="238"/>
      <c r="B103" s="185"/>
      <c r="C103" s="150" t="s">
        <v>248</v>
      </c>
      <c r="D103" s="151">
        <v>1000</v>
      </c>
      <c r="E103" s="151">
        <v>1750</v>
      </c>
      <c r="F103" s="151">
        <f t="shared" si="20"/>
        <v>1375</v>
      </c>
      <c r="G103" s="169">
        <f t="shared" si="21"/>
        <v>1.5384615384615385</v>
      </c>
      <c r="H103" s="169">
        <f t="shared" si="22"/>
        <v>2.6923076923076925</v>
      </c>
      <c r="I103" s="169">
        <f t="shared" si="23"/>
        <v>2.1153846153846154</v>
      </c>
      <c r="J103" s="152" t="s">
        <v>249</v>
      </c>
    </row>
    <row r="104" spans="1:10" ht="34.5" customHeight="1">
      <c r="A104" s="238"/>
      <c r="B104" s="185"/>
      <c r="C104" s="150" t="s">
        <v>250</v>
      </c>
      <c r="D104" s="151">
        <v>8000</v>
      </c>
      <c r="E104" s="151">
        <v>10000</v>
      </c>
      <c r="F104" s="151">
        <f>AVERAGE(D104:E104)</f>
        <v>9000</v>
      </c>
      <c r="G104" s="169">
        <f t="shared" si="21"/>
        <v>12.307692307692308</v>
      </c>
      <c r="H104" s="169">
        <f t="shared" si="22"/>
        <v>15.384615384615385</v>
      </c>
      <c r="I104" s="169">
        <f t="shared" si="23"/>
        <v>13.846153846153847</v>
      </c>
      <c r="J104" s="152"/>
    </row>
    <row r="105" spans="1:10" ht="27" customHeight="1">
      <c r="A105" s="238"/>
      <c r="B105" s="185"/>
      <c r="C105" s="150" t="s">
        <v>251</v>
      </c>
      <c r="D105" s="151">
        <v>1000</v>
      </c>
      <c r="E105" s="151">
        <v>1500</v>
      </c>
      <c r="F105" s="151">
        <f t="shared" si="20"/>
        <v>1250</v>
      </c>
      <c r="G105" s="169">
        <f t="shared" si="21"/>
        <v>1.5384615384615385</v>
      </c>
      <c r="H105" s="169">
        <f t="shared" si="22"/>
        <v>2.3076923076923075</v>
      </c>
      <c r="I105" s="169">
        <f t="shared" si="23"/>
        <v>1.9230769230769231</v>
      </c>
      <c r="J105" s="152"/>
    </row>
    <row r="106" spans="1:10" ht="21" customHeight="1">
      <c r="A106" s="238"/>
      <c r="B106" s="185"/>
      <c r="C106" s="150" t="s">
        <v>252</v>
      </c>
      <c r="D106" s="151">
        <v>1000</v>
      </c>
      <c r="E106" s="151">
        <v>1500</v>
      </c>
      <c r="F106" s="151">
        <f t="shared" si="20"/>
        <v>1250</v>
      </c>
      <c r="G106" s="169">
        <f t="shared" si="21"/>
        <v>1.5384615384615385</v>
      </c>
      <c r="H106" s="169">
        <f t="shared" si="22"/>
        <v>2.3076923076923075</v>
      </c>
      <c r="I106" s="169">
        <f t="shared" si="23"/>
        <v>1.9230769230769231</v>
      </c>
      <c r="J106" s="152"/>
    </row>
    <row r="107" spans="1:10" ht="29.25" customHeight="1">
      <c r="A107" s="238"/>
      <c r="B107" s="186"/>
      <c r="C107" s="150" t="s">
        <v>297</v>
      </c>
      <c r="D107" s="151">
        <v>50000</v>
      </c>
      <c r="E107" s="151">
        <v>100000</v>
      </c>
      <c r="F107" s="151">
        <f t="shared" si="20"/>
        <v>75000</v>
      </c>
      <c r="G107" s="169">
        <f t="shared" si="21"/>
        <v>76.92307692307692</v>
      </c>
      <c r="H107" s="169">
        <f t="shared" si="22"/>
        <v>153.84615384615384</v>
      </c>
      <c r="I107" s="169">
        <f t="shared" si="23"/>
        <v>115.38461538461539</v>
      </c>
      <c r="J107" s="156" t="s">
        <v>253</v>
      </c>
    </row>
    <row r="108" spans="1:10" s="112" customFormat="1" ht="23.25" customHeight="1">
      <c r="A108" s="238"/>
      <c r="B108" s="184" t="s">
        <v>46</v>
      </c>
      <c r="C108" s="150" t="s">
        <v>254</v>
      </c>
      <c r="D108" s="151">
        <v>75000</v>
      </c>
      <c r="E108" s="151">
        <v>100000</v>
      </c>
      <c r="F108" s="151">
        <f t="shared" si="20"/>
        <v>87500</v>
      </c>
      <c r="G108" s="169">
        <f t="shared" si="21"/>
        <v>115.38461538461539</v>
      </c>
      <c r="H108" s="169">
        <f t="shared" si="22"/>
        <v>153.84615384615384</v>
      </c>
      <c r="I108" s="169">
        <f t="shared" si="23"/>
        <v>134.61538461538461</v>
      </c>
      <c r="J108" s="182" t="s">
        <v>310</v>
      </c>
    </row>
    <row r="109" spans="1:10" ht="19.5" customHeight="1">
      <c r="A109" s="238"/>
      <c r="B109" s="185"/>
      <c r="C109" s="150" t="s">
        <v>255</v>
      </c>
      <c r="D109" s="151">
        <v>65000</v>
      </c>
      <c r="E109" s="151">
        <v>80000</v>
      </c>
      <c r="F109" s="151">
        <f t="shared" si="20"/>
        <v>72500</v>
      </c>
      <c r="G109" s="169">
        <f t="shared" si="21"/>
        <v>100</v>
      </c>
      <c r="H109" s="169">
        <f t="shared" si="22"/>
        <v>123.07692307692308</v>
      </c>
      <c r="I109" s="169">
        <f t="shared" si="23"/>
        <v>111.53846153846153</v>
      </c>
      <c r="J109" s="183"/>
    </row>
    <row r="110" spans="1:10" ht="30">
      <c r="A110" s="238"/>
      <c r="B110" s="185"/>
      <c r="C110" s="150" t="s">
        <v>248</v>
      </c>
      <c r="D110" s="151">
        <v>1250</v>
      </c>
      <c r="E110" s="151">
        <v>2000</v>
      </c>
      <c r="F110" s="151">
        <f>AVERAGE(D110:E110)</f>
        <v>1625</v>
      </c>
      <c r="G110" s="169">
        <f t="shared" si="21"/>
        <v>1.9230769230769231</v>
      </c>
      <c r="H110" s="169">
        <f t="shared" si="22"/>
        <v>3.0769230769230771</v>
      </c>
      <c r="I110" s="169">
        <f t="shared" si="23"/>
        <v>2.5</v>
      </c>
      <c r="J110" s="152" t="s">
        <v>249</v>
      </c>
    </row>
    <row r="111" spans="1:10" ht="30">
      <c r="A111" s="238"/>
      <c r="B111" s="185"/>
      <c r="C111" s="150" t="s">
        <v>298</v>
      </c>
      <c r="D111" s="151">
        <v>9500</v>
      </c>
      <c r="E111" s="151">
        <v>12000</v>
      </c>
      <c r="F111" s="151">
        <f>AVERAGE(D111:E111)</f>
        <v>10750</v>
      </c>
      <c r="G111" s="169">
        <f t="shared" si="21"/>
        <v>14.615384615384615</v>
      </c>
      <c r="H111" s="169">
        <f t="shared" si="22"/>
        <v>18.46153846153846</v>
      </c>
      <c r="I111" s="169">
        <f t="shared" si="23"/>
        <v>16.53846153846154</v>
      </c>
      <c r="J111" s="152"/>
    </row>
    <row r="112" spans="1:10" ht="14.25" customHeight="1">
      <c r="A112" s="238"/>
      <c r="B112" s="185"/>
      <c r="C112" s="150" t="s">
        <v>252</v>
      </c>
      <c r="D112" s="151">
        <v>1500</v>
      </c>
      <c r="E112" s="151">
        <v>2000</v>
      </c>
      <c r="F112" s="151">
        <f t="shared" ref="F112:F127" si="24">AVERAGE(D112:E112)</f>
        <v>1750</v>
      </c>
      <c r="G112" s="169">
        <f t="shared" si="21"/>
        <v>2.3076923076923075</v>
      </c>
      <c r="H112" s="169">
        <f t="shared" si="22"/>
        <v>3.0769230769230771</v>
      </c>
      <c r="I112" s="169">
        <f t="shared" si="23"/>
        <v>2.6923076923076925</v>
      </c>
      <c r="J112" s="152"/>
    </row>
    <row r="113" spans="1:10" ht="14.25" customHeight="1">
      <c r="A113" s="238"/>
      <c r="B113" s="185"/>
      <c r="C113" s="150" t="s">
        <v>251</v>
      </c>
      <c r="D113" s="151">
        <v>1500</v>
      </c>
      <c r="E113" s="151">
        <v>2000</v>
      </c>
      <c r="F113" s="151">
        <f t="shared" si="24"/>
        <v>1750</v>
      </c>
      <c r="G113" s="169">
        <f t="shared" si="21"/>
        <v>2.3076923076923075</v>
      </c>
      <c r="H113" s="169">
        <f t="shared" si="22"/>
        <v>3.0769230769230771</v>
      </c>
      <c r="I113" s="169">
        <f t="shared" si="23"/>
        <v>2.6923076923076925</v>
      </c>
      <c r="J113" s="152"/>
    </row>
    <row r="114" spans="1:10" ht="30">
      <c r="A114" s="238"/>
      <c r="B114" s="186"/>
      <c r="C114" s="150" t="s">
        <v>297</v>
      </c>
      <c r="D114" s="151">
        <v>50000</v>
      </c>
      <c r="E114" s="151">
        <v>100000</v>
      </c>
      <c r="F114" s="151">
        <f t="shared" si="24"/>
        <v>75000</v>
      </c>
      <c r="G114" s="169">
        <f t="shared" si="21"/>
        <v>76.92307692307692</v>
      </c>
      <c r="H114" s="169">
        <f t="shared" si="22"/>
        <v>153.84615384615384</v>
      </c>
      <c r="I114" s="169">
        <f t="shared" si="23"/>
        <v>115.38461538461539</v>
      </c>
      <c r="J114" s="156" t="s">
        <v>253</v>
      </c>
    </row>
    <row r="115" spans="1:10" ht="17.25" customHeight="1">
      <c r="A115" s="238"/>
      <c r="B115" s="184" t="s">
        <v>14</v>
      </c>
      <c r="C115" s="150" t="s">
        <v>304</v>
      </c>
      <c r="D115" s="151">
        <v>5000</v>
      </c>
      <c r="E115" s="151">
        <v>6500</v>
      </c>
      <c r="F115" s="151">
        <f t="shared" si="24"/>
        <v>5750</v>
      </c>
      <c r="G115" s="169">
        <f t="shared" si="21"/>
        <v>7.6923076923076925</v>
      </c>
      <c r="H115" s="169">
        <f t="shared" si="22"/>
        <v>10</v>
      </c>
      <c r="I115" s="169">
        <f t="shared" si="23"/>
        <v>8.8461538461538467</v>
      </c>
      <c r="J115" s="187" t="s">
        <v>256</v>
      </c>
    </row>
    <row r="116" spans="1:10" ht="25.5" customHeight="1">
      <c r="A116" s="238"/>
      <c r="B116" s="185"/>
      <c r="C116" s="150" t="s">
        <v>305</v>
      </c>
      <c r="D116" s="151">
        <v>6000</v>
      </c>
      <c r="E116" s="151">
        <v>8500</v>
      </c>
      <c r="F116" s="151">
        <f t="shared" si="24"/>
        <v>7250</v>
      </c>
      <c r="G116" s="169">
        <f t="shared" si="21"/>
        <v>9.2307692307692299</v>
      </c>
      <c r="H116" s="169">
        <f t="shared" si="22"/>
        <v>13.076923076923077</v>
      </c>
      <c r="I116" s="169">
        <f t="shared" si="23"/>
        <v>11.153846153846153</v>
      </c>
      <c r="J116" s="188"/>
    </row>
    <row r="117" spans="1:10" ht="44.25" customHeight="1">
      <c r="A117" s="238"/>
      <c r="B117" s="185"/>
      <c r="C117" s="150" t="s">
        <v>257</v>
      </c>
      <c r="D117" s="151">
        <v>8000</v>
      </c>
      <c r="E117" s="151">
        <v>10000</v>
      </c>
      <c r="F117" s="151">
        <f>AVERAGE(D117:E117)</f>
        <v>9000</v>
      </c>
      <c r="G117" s="169">
        <f t="shared" si="21"/>
        <v>12.307692307692308</v>
      </c>
      <c r="H117" s="169">
        <f t="shared" si="22"/>
        <v>15.384615384615385</v>
      </c>
      <c r="I117" s="169">
        <f t="shared" si="23"/>
        <v>13.846153846153847</v>
      </c>
      <c r="J117" s="152"/>
    </row>
    <row r="118" spans="1:10">
      <c r="A118" s="238"/>
      <c r="B118" s="185"/>
      <c r="C118" s="150" t="s">
        <v>258</v>
      </c>
      <c r="D118" s="151">
        <v>3500</v>
      </c>
      <c r="E118" s="151">
        <v>5000</v>
      </c>
      <c r="F118" s="151">
        <f t="shared" si="24"/>
        <v>4250</v>
      </c>
      <c r="G118" s="169">
        <f t="shared" si="21"/>
        <v>5.384615384615385</v>
      </c>
      <c r="H118" s="169">
        <f t="shared" si="22"/>
        <v>7.6923076923076925</v>
      </c>
      <c r="I118" s="169">
        <f t="shared" si="23"/>
        <v>6.5384615384615383</v>
      </c>
      <c r="J118" s="152"/>
    </row>
    <row r="119" spans="1:10">
      <c r="A119" s="238"/>
      <c r="B119" s="185"/>
      <c r="C119" s="150" t="s">
        <v>259</v>
      </c>
      <c r="D119" s="151">
        <v>1200</v>
      </c>
      <c r="E119" s="151">
        <v>1500</v>
      </c>
      <c r="F119" s="151">
        <f t="shared" si="24"/>
        <v>1350</v>
      </c>
      <c r="G119" s="169">
        <f t="shared" si="21"/>
        <v>1.8461538461538463</v>
      </c>
      <c r="H119" s="169">
        <f t="shared" si="22"/>
        <v>2.3076923076923075</v>
      </c>
      <c r="I119" s="169">
        <f t="shared" si="23"/>
        <v>2.0769230769230771</v>
      </c>
      <c r="J119" s="152"/>
    </row>
    <row r="120" spans="1:10" ht="39" customHeight="1">
      <c r="A120" s="238"/>
      <c r="B120" s="186"/>
      <c r="C120" s="150" t="s">
        <v>260</v>
      </c>
      <c r="D120" s="151">
        <v>50000</v>
      </c>
      <c r="E120" s="151">
        <v>100000</v>
      </c>
      <c r="F120" s="151">
        <f t="shared" si="24"/>
        <v>75000</v>
      </c>
      <c r="G120" s="169">
        <f t="shared" si="21"/>
        <v>76.92307692307692</v>
      </c>
      <c r="H120" s="169">
        <f t="shared" si="22"/>
        <v>153.84615384615384</v>
      </c>
      <c r="I120" s="169">
        <f t="shared" si="23"/>
        <v>115.38461538461539</v>
      </c>
      <c r="J120" s="156" t="s">
        <v>253</v>
      </c>
    </row>
    <row r="121" spans="1:10" ht="54.75" customHeight="1">
      <c r="A121" s="238"/>
      <c r="B121" s="184" t="s">
        <v>15</v>
      </c>
      <c r="C121" s="150" t="s">
        <v>261</v>
      </c>
      <c r="D121" s="151">
        <v>200000</v>
      </c>
      <c r="E121" s="151">
        <v>300000</v>
      </c>
      <c r="F121" s="151">
        <f>AVERAGE(D121:E121)</f>
        <v>250000</v>
      </c>
      <c r="G121" s="169">
        <f t="shared" si="21"/>
        <v>307.69230769230768</v>
      </c>
      <c r="H121" s="169">
        <f t="shared" si="22"/>
        <v>461.53846153846155</v>
      </c>
      <c r="I121" s="169">
        <f t="shared" si="23"/>
        <v>384.61538461538464</v>
      </c>
      <c r="J121" s="152"/>
    </row>
    <row r="122" spans="1:10" ht="14.25" customHeight="1">
      <c r="A122" s="238"/>
      <c r="B122" s="185"/>
      <c r="C122" s="150" t="s">
        <v>262</v>
      </c>
      <c r="D122" s="159">
        <v>175000</v>
      </c>
      <c r="E122" s="159">
        <v>250000</v>
      </c>
      <c r="F122" s="151">
        <f t="shared" si="24"/>
        <v>212500</v>
      </c>
      <c r="G122" s="169">
        <f t="shared" si="21"/>
        <v>269.23076923076923</v>
      </c>
      <c r="H122" s="169">
        <f t="shared" si="22"/>
        <v>384.61538461538464</v>
      </c>
      <c r="I122" s="169">
        <f t="shared" si="23"/>
        <v>326.92307692307691</v>
      </c>
      <c r="J122" s="152"/>
    </row>
    <row r="123" spans="1:10" ht="14.25" customHeight="1">
      <c r="A123" s="238"/>
      <c r="B123" s="185"/>
      <c r="C123" s="150" t="s">
        <v>299</v>
      </c>
      <c r="D123" s="151">
        <v>200000</v>
      </c>
      <c r="E123" s="151">
        <v>300000</v>
      </c>
      <c r="F123" s="151">
        <f t="shared" si="24"/>
        <v>250000</v>
      </c>
      <c r="G123" s="169">
        <f t="shared" si="21"/>
        <v>307.69230769230768</v>
      </c>
      <c r="H123" s="169">
        <f t="shared" si="22"/>
        <v>461.53846153846155</v>
      </c>
      <c r="I123" s="169">
        <f t="shared" si="23"/>
        <v>384.61538461538464</v>
      </c>
      <c r="J123" s="152"/>
    </row>
    <row r="124" spans="1:10" ht="30">
      <c r="A124" s="238"/>
      <c r="B124" s="186"/>
      <c r="C124" s="150" t="s">
        <v>263</v>
      </c>
      <c r="D124" s="159">
        <v>150000</v>
      </c>
      <c r="E124" s="159">
        <v>300000</v>
      </c>
      <c r="F124" s="151">
        <f t="shared" si="24"/>
        <v>225000</v>
      </c>
      <c r="G124" s="169">
        <f t="shared" si="21"/>
        <v>230.76923076923077</v>
      </c>
      <c r="H124" s="169">
        <f t="shared" si="22"/>
        <v>461.53846153846155</v>
      </c>
      <c r="I124" s="169">
        <f t="shared" si="23"/>
        <v>346.15384615384613</v>
      </c>
      <c r="J124" s="156" t="s">
        <v>300</v>
      </c>
    </row>
    <row r="125" spans="1:10" ht="14.25" customHeight="1">
      <c r="A125" s="238"/>
      <c r="B125" s="184" t="s">
        <v>47</v>
      </c>
      <c r="C125" s="150" t="s">
        <v>264</v>
      </c>
      <c r="D125" s="151">
        <v>1500000</v>
      </c>
      <c r="E125" s="151">
        <v>2000000</v>
      </c>
      <c r="F125" s="151">
        <f t="shared" si="24"/>
        <v>1750000</v>
      </c>
      <c r="G125" s="169">
        <f t="shared" si="21"/>
        <v>2307.6923076923076</v>
      </c>
      <c r="H125" s="169">
        <f t="shared" si="22"/>
        <v>3076.9230769230771</v>
      </c>
      <c r="I125" s="169">
        <f t="shared" si="23"/>
        <v>2692.3076923076924</v>
      </c>
      <c r="J125" s="152"/>
    </row>
    <row r="126" spans="1:10" ht="14.25" customHeight="1">
      <c r="A126" s="238"/>
      <c r="B126" s="185"/>
      <c r="C126" s="150" t="s">
        <v>265</v>
      </c>
      <c r="D126" s="151">
        <v>150000</v>
      </c>
      <c r="E126" s="151">
        <v>200000</v>
      </c>
      <c r="F126" s="151">
        <f>AVERAGE(D126:E126)</f>
        <v>175000</v>
      </c>
      <c r="G126" s="169">
        <f t="shared" si="21"/>
        <v>230.76923076923077</v>
      </c>
      <c r="H126" s="169">
        <f t="shared" si="22"/>
        <v>307.69230769230768</v>
      </c>
      <c r="I126" s="169">
        <f t="shared" si="23"/>
        <v>269.23076923076923</v>
      </c>
      <c r="J126" s="152"/>
    </row>
    <row r="127" spans="1:10" ht="14.25" customHeight="1">
      <c r="A127" s="238"/>
      <c r="B127" s="185"/>
      <c r="C127" s="150" t="s">
        <v>266</v>
      </c>
      <c r="D127" s="151">
        <v>50000</v>
      </c>
      <c r="E127" s="151">
        <v>100000</v>
      </c>
      <c r="F127" s="151">
        <f t="shared" si="24"/>
        <v>75000</v>
      </c>
      <c r="G127" s="169">
        <f t="shared" si="21"/>
        <v>76.92307692307692</v>
      </c>
      <c r="H127" s="169">
        <f t="shared" si="22"/>
        <v>153.84615384615384</v>
      </c>
      <c r="I127" s="169">
        <f t="shared" si="23"/>
        <v>115.38461538461539</v>
      </c>
      <c r="J127" s="152"/>
    </row>
    <row r="128" spans="1:10" ht="14.25" customHeight="1">
      <c r="A128" s="238"/>
      <c r="B128" s="185"/>
      <c r="C128" s="150" t="s">
        <v>267</v>
      </c>
      <c r="D128" s="151">
        <v>75000</v>
      </c>
      <c r="E128" s="151">
        <v>150000</v>
      </c>
      <c r="F128" s="151">
        <f>AVERAGE(D128:E128)</f>
        <v>112500</v>
      </c>
      <c r="G128" s="169">
        <f t="shared" si="21"/>
        <v>115.38461538461539</v>
      </c>
      <c r="H128" s="169">
        <f t="shared" si="22"/>
        <v>230.76923076923077</v>
      </c>
      <c r="I128" s="169">
        <f t="shared" si="23"/>
        <v>173.07692307692307</v>
      </c>
      <c r="J128" s="152"/>
    </row>
    <row r="129" spans="1:10" ht="14.25" customHeight="1">
      <c r="A129" s="238"/>
      <c r="B129" s="185"/>
      <c r="C129" s="150" t="s">
        <v>268</v>
      </c>
      <c r="D129" s="151">
        <v>250000</v>
      </c>
      <c r="E129" s="151">
        <v>350000</v>
      </c>
      <c r="F129" s="151">
        <f t="shared" ref="F129:F133" si="25">AVERAGE(D129:E129)</f>
        <v>300000</v>
      </c>
      <c r="G129" s="169">
        <f t="shared" si="21"/>
        <v>384.61538461538464</v>
      </c>
      <c r="H129" s="169">
        <f t="shared" si="22"/>
        <v>538.46153846153845</v>
      </c>
      <c r="I129" s="169">
        <f t="shared" si="23"/>
        <v>461.53846153846155</v>
      </c>
      <c r="J129" s="152"/>
    </row>
    <row r="130" spans="1:10" ht="14.25" customHeight="1">
      <c r="A130" s="238"/>
      <c r="B130" s="185"/>
      <c r="C130" s="150" t="s">
        <v>269</v>
      </c>
      <c r="D130" s="151">
        <v>1000000</v>
      </c>
      <c r="E130" s="151">
        <v>1500000</v>
      </c>
      <c r="F130" s="151">
        <f t="shared" si="25"/>
        <v>1250000</v>
      </c>
      <c r="G130" s="169">
        <f t="shared" si="21"/>
        <v>1538.4615384615386</v>
      </c>
      <c r="H130" s="169">
        <f t="shared" si="22"/>
        <v>2307.6923076923076</v>
      </c>
      <c r="I130" s="169">
        <f t="shared" si="23"/>
        <v>1923.0769230769231</v>
      </c>
      <c r="J130" s="152"/>
    </row>
    <row r="131" spans="1:10" ht="22.5" customHeight="1">
      <c r="A131" s="238"/>
      <c r="B131" s="186"/>
      <c r="C131" s="150" t="s">
        <v>301</v>
      </c>
      <c r="D131" s="151">
        <v>45000</v>
      </c>
      <c r="E131" s="151">
        <v>50000</v>
      </c>
      <c r="F131" s="151">
        <f t="shared" si="25"/>
        <v>47500</v>
      </c>
      <c r="G131" s="169">
        <f t="shared" si="21"/>
        <v>69.230769230769226</v>
      </c>
      <c r="H131" s="169">
        <f t="shared" si="22"/>
        <v>76.92307692307692</v>
      </c>
      <c r="I131" s="169">
        <f t="shared" si="23"/>
        <v>73.07692307692308</v>
      </c>
      <c r="J131" s="152"/>
    </row>
    <row r="132" spans="1:10" ht="112.5" customHeight="1">
      <c r="A132" s="238"/>
      <c r="B132" s="184" t="s">
        <v>16</v>
      </c>
      <c r="C132" s="150" t="s">
        <v>270</v>
      </c>
      <c r="D132" s="151">
        <v>1500000</v>
      </c>
      <c r="E132" s="151">
        <v>2500000</v>
      </c>
      <c r="F132" s="151">
        <f t="shared" si="25"/>
        <v>2000000</v>
      </c>
      <c r="G132" s="169">
        <f t="shared" si="21"/>
        <v>2307.6923076923076</v>
      </c>
      <c r="H132" s="169">
        <f t="shared" si="22"/>
        <v>3846.1538461538462</v>
      </c>
      <c r="I132" s="169">
        <f t="shared" si="23"/>
        <v>3076.9230769230771</v>
      </c>
      <c r="J132" s="156" t="s">
        <v>311</v>
      </c>
    </row>
    <row r="133" spans="1:10" ht="14.25" customHeight="1">
      <c r="A133" s="238"/>
      <c r="B133" s="185"/>
      <c r="C133" s="223" t="s">
        <v>271</v>
      </c>
      <c r="D133" s="180">
        <v>200000</v>
      </c>
      <c r="E133" s="180">
        <v>450000</v>
      </c>
      <c r="F133" s="180">
        <f t="shared" si="25"/>
        <v>325000</v>
      </c>
      <c r="G133" s="169">
        <f t="shared" ref="G133:G151" si="26">D133/650</f>
        <v>307.69230769230768</v>
      </c>
      <c r="H133" s="169">
        <f t="shared" ref="H133:H151" si="27">E133/650</f>
        <v>692.30769230769226</v>
      </c>
      <c r="I133" s="169">
        <f t="shared" ref="I133:I151" si="28">F133/650</f>
        <v>500</v>
      </c>
      <c r="J133" s="182"/>
    </row>
    <row r="134" spans="1:10" ht="14.25" customHeight="1">
      <c r="A134" s="238"/>
      <c r="B134" s="186"/>
      <c r="C134" s="224"/>
      <c r="D134" s="181"/>
      <c r="E134" s="181"/>
      <c r="F134" s="181"/>
      <c r="G134" s="169">
        <f t="shared" si="26"/>
        <v>0</v>
      </c>
      <c r="H134" s="169">
        <f t="shared" si="27"/>
        <v>0</v>
      </c>
      <c r="I134" s="169">
        <f t="shared" si="28"/>
        <v>0</v>
      </c>
      <c r="J134" s="183"/>
    </row>
    <row r="135" spans="1:10" ht="79.5" customHeight="1">
      <c r="A135" s="238"/>
      <c r="B135" s="184" t="s">
        <v>17</v>
      </c>
      <c r="C135" s="150" t="s">
        <v>272</v>
      </c>
      <c r="D135" s="151">
        <v>50000</v>
      </c>
      <c r="E135" s="151">
        <v>200000</v>
      </c>
      <c r="F135" s="151">
        <f>AVERAGE(D135:E135)</f>
        <v>125000</v>
      </c>
      <c r="G135" s="169">
        <f t="shared" si="26"/>
        <v>76.92307692307692</v>
      </c>
      <c r="H135" s="169">
        <f t="shared" si="27"/>
        <v>307.69230769230768</v>
      </c>
      <c r="I135" s="169">
        <f t="shared" si="28"/>
        <v>192.30769230769232</v>
      </c>
      <c r="J135" s="156" t="s">
        <v>273</v>
      </c>
    </row>
    <row r="136" spans="1:10" ht="14.25" customHeight="1">
      <c r="A136" s="238"/>
      <c r="B136" s="185"/>
      <c r="C136" s="150" t="s">
        <v>274</v>
      </c>
      <c r="D136" s="151">
        <v>30000</v>
      </c>
      <c r="E136" s="151">
        <v>50000</v>
      </c>
      <c r="F136" s="151">
        <f t="shared" ref="F136:F139" si="29">AVERAGE(D136:E136)</f>
        <v>40000</v>
      </c>
      <c r="G136" s="169">
        <f t="shared" si="26"/>
        <v>46.153846153846153</v>
      </c>
      <c r="H136" s="169">
        <f t="shared" si="27"/>
        <v>76.92307692307692</v>
      </c>
      <c r="I136" s="169">
        <f t="shared" si="28"/>
        <v>61.53846153846154</v>
      </c>
      <c r="J136" s="152"/>
    </row>
    <row r="137" spans="1:10" ht="14.25" customHeight="1">
      <c r="A137" s="238"/>
      <c r="B137" s="186"/>
      <c r="C137" s="150" t="s">
        <v>275</v>
      </c>
      <c r="D137" s="151">
        <v>2500</v>
      </c>
      <c r="E137" s="151">
        <v>3000</v>
      </c>
      <c r="F137" s="151">
        <f t="shared" si="29"/>
        <v>2750</v>
      </c>
      <c r="G137" s="169">
        <f t="shared" si="26"/>
        <v>3.8461538461538463</v>
      </c>
      <c r="H137" s="169">
        <f t="shared" si="27"/>
        <v>4.615384615384615</v>
      </c>
      <c r="I137" s="169">
        <f t="shared" si="28"/>
        <v>4.2307692307692308</v>
      </c>
      <c r="J137" s="152"/>
    </row>
    <row r="138" spans="1:10" ht="14.25" customHeight="1">
      <c r="A138" s="238"/>
      <c r="B138" s="184" t="s">
        <v>18</v>
      </c>
      <c r="C138" s="150" t="s">
        <v>276</v>
      </c>
      <c r="D138" s="151">
        <v>500000</v>
      </c>
      <c r="E138" s="151">
        <v>650000</v>
      </c>
      <c r="F138" s="151">
        <f t="shared" si="29"/>
        <v>575000</v>
      </c>
      <c r="G138" s="169">
        <f t="shared" si="26"/>
        <v>769.23076923076928</v>
      </c>
      <c r="H138" s="169">
        <f t="shared" si="27"/>
        <v>1000</v>
      </c>
      <c r="I138" s="169">
        <f t="shared" si="28"/>
        <v>884.61538461538464</v>
      </c>
      <c r="J138" s="152"/>
    </row>
    <row r="139" spans="1:10" ht="34.5" customHeight="1">
      <c r="A139" s="238"/>
      <c r="B139" s="185"/>
      <c r="C139" s="150" t="s">
        <v>306</v>
      </c>
      <c r="D139" s="151">
        <v>250000</v>
      </c>
      <c r="E139" s="151">
        <v>300000</v>
      </c>
      <c r="F139" s="151">
        <f t="shared" si="29"/>
        <v>275000</v>
      </c>
      <c r="G139" s="169">
        <f t="shared" si="26"/>
        <v>384.61538461538464</v>
      </c>
      <c r="H139" s="169">
        <f t="shared" si="27"/>
        <v>461.53846153846155</v>
      </c>
      <c r="I139" s="169">
        <f t="shared" si="28"/>
        <v>423.07692307692309</v>
      </c>
      <c r="J139" s="152" t="s">
        <v>307</v>
      </c>
    </row>
    <row r="140" spans="1:10" ht="14.25" customHeight="1">
      <c r="A140" s="238"/>
      <c r="B140" s="186"/>
      <c r="C140" s="150" t="s">
        <v>277</v>
      </c>
      <c r="D140" s="151">
        <v>35000</v>
      </c>
      <c r="E140" s="151">
        <v>50000</v>
      </c>
      <c r="F140" s="151">
        <f>AVERAGE(D140:E140)</f>
        <v>42500</v>
      </c>
      <c r="G140" s="169">
        <f t="shared" si="26"/>
        <v>53.846153846153847</v>
      </c>
      <c r="H140" s="169">
        <f t="shared" si="27"/>
        <v>76.92307692307692</v>
      </c>
      <c r="I140" s="169">
        <f t="shared" si="28"/>
        <v>65.384615384615387</v>
      </c>
      <c r="J140" s="152"/>
    </row>
    <row r="141" spans="1:10" ht="68.25" customHeight="1">
      <c r="A141" s="238"/>
      <c r="B141" s="225" t="s">
        <v>19</v>
      </c>
      <c r="C141" s="150" t="s">
        <v>278</v>
      </c>
      <c r="D141" s="151">
        <v>100000</v>
      </c>
      <c r="E141" s="151">
        <v>300000</v>
      </c>
      <c r="F141" s="151">
        <f t="shared" ref="F141:F145" si="30">AVERAGE(D141:E141)</f>
        <v>200000</v>
      </c>
      <c r="G141" s="169">
        <f t="shared" si="26"/>
        <v>153.84615384615384</v>
      </c>
      <c r="H141" s="169">
        <f t="shared" si="27"/>
        <v>461.53846153846155</v>
      </c>
      <c r="I141" s="169">
        <f t="shared" si="28"/>
        <v>307.69230769230768</v>
      </c>
      <c r="J141" s="152"/>
    </row>
    <row r="142" spans="1:10" ht="24.75" customHeight="1">
      <c r="A142" s="238"/>
      <c r="B142" s="226"/>
      <c r="C142" s="150" t="s">
        <v>308</v>
      </c>
      <c r="D142" s="151">
        <v>7000000</v>
      </c>
      <c r="E142" s="151">
        <v>15000000</v>
      </c>
      <c r="F142" s="151">
        <f t="shared" si="30"/>
        <v>11000000</v>
      </c>
      <c r="G142" s="169">
        <f t="shared" si="26"/>
        <v>10769.23076923077</v>
      </c>
      <c r="H142" s="169">
        <f t="shared" si="27"/>
        <v>23076.923076923078</v>
      </c>
      <c r="I142" s="169">
        <f t="shared" si="28"/>
        <v>16923.076923076922</v>
      </c>
      <c r="J142" s="152"/>
    </row>
    <row r="143" spans="1:10" ht="41.25" customHeight="1">
      <c r="A143" s="238"/>
      <c r="B143" s="226"/>
      <c r="C143" s="150" t="s">
        <v>279</v>
      </c>
      <c r="D143" s="151">
        <v>50000</v>
      </c>
      <c r="E143" s="151">
        <v>150000</v>
      </c>
      <c r="F143" s="151">
        <f t="shared" si="30"/>
        <v>100000</v>
      </c>
      <c r="G143" s="169">
        <f t="shared" si="26"/>
        <v>76.92307692307692</v>
      </c>
      <c r="H143" s="169">
        <f t="shared" si="27"/>
        <v>230.76923076923077</v>
      </c>
      <c r="I143" s="169">
        <f t="shared" si="28"/>
        <v>153.84615384615384</v>
      </c>
      <c r="J143" s="152"/>
    </row>
    <row r="144" spans="1:10" ht="40.5" customHeight="1">
      <c r="A144" s="238"/>
      <c r="B144" s="226"/>
      <c r="C144" s="150" t="s">
        <v>280</v>
      </c>
      <c r="D144" s="151">
        <v>200000</v>
      </c>
      <c r="E144" s="151">
        <v>500000</v>
      </c>
      <c r="F144" s="151">
        <f t="shared" si="30"/>
        <v>350000</v>
      </c>
      <c r="G144" s="169">
        <f t="shared" si="26"/>
        <v>307.69230769230768</v>
      </c>
      <c r="H144" s="169">
        <f t="shared" si="27"/>
        <v>769.23076923076928</v>
      </c>
      <c r="I144" s="169">
        <f t="shared" si="28"/>
        <v>538.46153846153845</v>
      </c>
      <c r="J144" s="156" t="s">
        <v>281</v>
      </c>
    </row>
    <row r="145" spans="1:10" ht="14.25" customHeight="1">
      <c r="A145" s="238"/>
      <c r="B145" s="226"/>
      <c r="C145" s="150" t="s">
        <v>282</v>
      </c>
      <c r="D145" s="151">
        <v>150000</v>
      </c>
      <c r="E145" s="151">
        <v>250000</v>
      </c>
      <c r="F145" s="151">
        <f t="shared" si="30"/>
        <v>200000</v>
      </c>
      <c r="G145" s="169">
        <f t="shared" si="26"/>
        <v>230.76923076923077</v>
      </c>
      <c r="H145" s="169">
        <f t="shared" si="27"/>
        <v>384.61538461538464</v>
      </c>
      <c r="I145" s="169">
        <f t="shared" si="28"/>
        <v>307.69230769230768</v>
      </c>
      <c r="J145" s="152"/>
    </row>
    <row r="146" spans="1:10" ht="51" customHeight="1">
      <c r="A146" s="238"/>
      <c r="B146" s="227"/>
      <c r="C146" s="150" t="s">
        <v>283</v>
      </c>
      <c r="D146" s="151">
        <v>10000</v>
      </c>
      <c r="E146" s="151">
        <v>15000</v>
      </c>
      <c r="F146" s="151">
        <f>AVERAGE(D146:E146)</f>
        <v>12500</v>
      </c>
      <c r="G146" s="169">
        <f t="shared" si="26"/>
        <v>15.384615384615385</v>
      </c>
      <c r="H146" s="169">
        <f t="shared" si="27"/>
        <v>23.076923076923077</v>
      </c>
      <c r="I146" s="169">
        <f t="shared" si="28"/>
        <v>19.23076923076923</v>
      </c>
      <c r="J146" s="152"/>
    </row>
    <row r="147" spans="1:10" ht="33.75" customHeight="1">
      <c r="A147" s="238"/>
      <c r="B147" s="184" t="s">
        <v>20</v>
      </c>
      <c r="C147" s="150" t="s">
        <v>284</v>
      </c>
      <c r="D147" s="151">
        <v>50000</v>
      </c>
      <c r="E147" s="151">
        <v>75000</v>
      </c>
      <c r="F147" s="151">
        <f>AVERAGE(D147:E147)</f>
        <v>62500</v>
      </c>
      <c r="G147" s="169">
        <f t="shared" si="26"/>
        <v>76.92307692307692</v>
      </c>
      <c r="H147" s="169">
        <f t="shared" si="27"/>
        <v>115.38461538461539</v>
      </c>
      <c r="I147" s="169">
        <f t="shared" si="28"/>
        <v>96.15384615384616</v>
      </c>
      <c r="J147" s="152"/>
    </row>
    <row r="148" spans="1:10" ht="33.75" customHeight="1">
      <c r="A148" s="238"/>
      <c r="B148" s="185"/>
      <c r="C148" s="150" t="s">
        <v>285</v>
      </c>
      <c r="D148" s="151">
        <v>1000000</v>
      </c>
      <c r="E148" s="151">
        <v>1500000</v>
      </c>
      <c r="F148" s="151">
        <f t="shared" ref="F148:F150" si="31">AVERAGE(D148:E148)</f>
        <v>1250000</v>
      </c>
      <c r="G148" s="169">
        <f t="shared" si="26"/>
        <v>1538.4615384615386</v>
      </c>
      <c r="H148" s="169">
        <f t="shared" si="27"/>
        <v>2307.6923076923076</v>
      </c>
      <c r="I148" s="169">
        <f t="shared" si="28"/>
        <v>1923.0769230769231</v>
      </c>
      <c r="J148" s="152"/>
    </row>
    <row r="149" spans="1:10" ht="34.5" customHeight="1">
      <c r="A149" s="238"/>
      <c r="B149" s="186"/>
      <c r="C149" s="150" t="s">
        <v>286</v>
      </c>
      <c r="D149" s="151">
        <v>50000</v>
      </c>
      <c r="E149" s="151">
        <v>500000</v>
      </c>
      <c r="F149" s="151">
        <f t="shared" si="31"/>
        <v>275000</v>
      </c>
      <c r="G149" s="169">
        <f t="shared" si="26"/>
        <v>76.92307692307692</v>
      </c>
      <c r="H149" s="169">
        <f t="shared" si="27"/>
        <v>769.23076923076928</v>
      </c>
      <c r="I149" s="169">
        <f t="shared" si="28"/>
        <v>423.07692307692309</v>
      </c>
      <c r="J149" s="152" t="s">
        <v>309</v>
      </c>
    </row>
    <row r="150" spans="1:10" ht="60">
      <c r="A150" s="238"/>
      <c r="B150" s="184" t="s">
        <v>21</v>
      </c>
      <c r="C150" s="150" t="s">
        <v>287</v>
      </c>
      <c r="D150" s="151">
        <v>1500000</v>
      </c>
      <c r="E150" s="151">
        <v>2500000</v>
      </c>
      <c r="F150" s="151">
        <f t="shared" si="31"/>
        <v>2000000</v>
      </c>
      <c r="G150" s="169">
        <f t="shared" si="26"/>
        <v>2307.6923076923076</v>
      </c>
      <c r="H150" s="169">
        <f t="shared" si="27"/>
        <v>3846.1538461538462</v>
      </c>
      <c r="I150" s="169">
        <f t="shared" si="28"/>
        <v>3076.9230769230771</v>
      </c>
      <c r="J150" s="156" t="s">
        <v>302</v>
      </c>
    </row>
    <row r="151" spans="1:10" ht="25.5" customHeight="1">
      <c r="A151" s="238"/>
      <c r="B151" s="186"/>
      <c r="C151" s="150" t="s">
        <v>288</v>
      </c>
      <c r="D151" s="151">
        <v>500000</v>
      </c>
      <c r="E151" s="151">
        <v>750000</v>
      </c>
      <c r="F151" s="151">
        <f>AVERAGE(D151:E151)</f>
        <v>625000</v>
      </c>
      <c r="G151" s="169">
        <f t="shared" si="26"/>
        <v>769.23076923076928</v>
      </c>
      <c r="H151" s="169">
        <f t="shared" si="27"/>
        <v>1153.8461538461538</v>
      </c>
      <c r="I151" s="169">
        <f t="shared" si="28"/>
        <v>961.53846153846155</v>
      </c>
      <c r="J151" s="152" t="s">
        <v>289</v>
      </c>
    </row>
    <row r="152" spans="1:10" ht="14.25" customHeight="1">
      <c r="A152" s="231" t="s">
        <v>213</v>
      </c>
      <c r="B152" s="232"/>
      <c r="C152" s="232"/>
      <c r="D152" s="232"/>
      <c r="E152" s="232"/>
      <c r="F152" s="232"/>
      <c r="G152" s="232"/>
      <c r="H152" s="232"/>
      <c r="I152" s="232"/>
      <c r="J152" s="233"/>
    </row>
    <row r="153" spans="1:10" ht="14.25" customHeight="1">
      <c r="A153" s="228" t="s">
        <v>210</v>
      </c>
      <c r="B153" s="125" t="s">
        <v>129</v>
      </c>
      <c r="C153" s="110"/>
      <c r="D153" s="160">
        <v>1500000</v>
      </c>
      <c r="E153" s="160">
        <v>2000000</v>
      </c>
      <c r="F153" s="161">
        <f>(1500000+2000000)/2</f>
        <v>1750000</v>
      </c>
      <c r="G153" s="169">
        <f t="shared" ref="G153" si="32">D153/650</f>
        <v>2307.6923076923076</v>
      </c>
      <c r="H153" s="169">
        <f t="shared" ref="H153" si="33">E153/650</f>
        <v>3076.9230769230771</v>
      </c>
      <c r="I153" s="169">
        <f t="shared" ref="I153" si="34">F153/650</f>
        <v>2692.3076923076924</v>
      </c>
      <c r="J153" s="131" t="s">
        <v>143</v>
      </c>
    </row>
    <row r="154" spans="1:10" ht="14.25" customHeight="1">
      <c r="A154" s="229"/>
      <c r="B154" s="184" t="s">
        <v>22</v>
      </c>
      <c r="C154" s="110"/>
      <c r="D154" s="160">
        <v>150000</v>
      </c>
      <c r="E154" s="160">
        <v>350000</v>
      </c>
      <c r="F154" s="160">
        <v>250000</v>
      </c>
      <c r="G154" s="169">
        <f t="shared" ref="G154:G164" si="35">D154/650</f>
        <v>230.76923076923077</v>
      </c>
      <c r="H154" s="169">
        <f t="shared" ref="H154:H164" si="36">E154/650</f>
        <v>538.46153846153845</v>
      </c>
      <c r="I154" s="169">
        <f t="shared" ref="I154:I164" si="37">F154/650</f>
        <v>384.61538461538464</v>
      </c>
      <c r="J154" s="131" t="s">
        <v>144</v>
      </c>
    </row>
    <row r="155" spans="1:10" ht="14.25" customHeight="1">
      <c r="A155" s="229"/>
      <c r="B155" s="185"/>
      <c r="C155" s="110" t="s">
        <v>176</v>
      </c>
      <c r="D155" s="160">
        <v>40000</v>
      </c>
      <c r="E155" s="160">
        <v>60000</v>
      </c>
      <c r="F155" s="160">
        <v>50000</v>
      </c>
      <c r="G155" s="169">
        <f t="shared" si="35"/>
        <v>61.53846153846154</v>
      </c>
      <c r="H155" s="169">
        <f t="shared" si="36"/>
        <v>92.307692307692307</v>
      </c>
      <c r="I155" s="169">
        <f t="shared" si="37"/>
        <v>76.92307692307692</v>
      </c>
      <c r="J155" s="131" t="s">
        <v>145</v>
      </c>
    </row>
    <row r="156" spans="1:10" ht="14.25" customHeight="1">
      <c r="A156" s="229"/>
      <c r="B156" s="185"/>
      <c r="C156" s="110" t="s">
        <v>130</v>
      </c>
      <c r="D156" s="160">
        <v>12500</v>
      </c>
      <c r="E156" s="160">
        <v>20000</v>
      </c>
      <c r="F156" s="160">
        <v>15000</v>
      </c>
      <c r="G156" s="169">
        <f t="shared" si="35"/>
        <v>19.23076923076923</v>
      </c>
      <c r="H156" s="169">
        <f t="shared" si="36"/>
        <v>30.76923076923077</v>
      </c>
      <c r="I156" s="169">
        <f t="shared" si="37"/>
        <v>23.076923076923077</v>
      </c>
      <c r="J156" s="131" t="s">
        <v>146</v>
      </c>
    </row>
    <row r="157" spans="1:10" ht="14.25" customHeight="1">
      <c r="A157" s="229"/>
      <c r="B157" s="185"/>
      <c r="C157" s="110" t="s">
        <v>131</v>
      </c>
      <c r="D157" s="160">
        <v>4500</v>
      </c>
      <c r="E157" s="160">
        <v>6000</v>
      </c>
      <c r="F157" s="160">
        <v>5000</v>
      </c>
      <c r="G157" s="169">
        <f t="shared" si="35"/>
        <v>6.9230769230769234</v>
      </c>
      <c r="H157" s="169">
        <f t="shared" si="36"/>
        <v>9.2307692307692299</v>
      </c>
      <c r="I157" s="169">
        <f t="shared" si="37"/>
        <v>7.6923076923076925</v>
      </c>
      <c r="J157" s="131" t="s">
        <v>147</v>
      </c>
    </row>
    <row r="158" spans="1:10" ht="14.25" customHeight="1">
      <c r="A158" s="229"/>
      <c r="B158" s="185"/>
      <c r="C158" s="110" t="s">
        <v>132</v>
      </c>
      <c r="D158" s="160">
        <v>60000</v>
      </c>
      <c r="E158" s="160">
        <v>80000</v>
      </c>
      <c r="F158" s="160">
        <v>75000</v>
      </c>
      <c r="G158" s="169">
        <f t="shared" si="35"/>
        <v>92.307692307692307</v>
      </c>
      <c r="H158" s="169">
        <f t="shared" si="36"/>
        <v>123.07692307692308</v>
      </c>
      <c r="I158" s="169">
        <f t="shared" si="37"/>
        <v>115.38461538461539</v>
      </c>
      <c r="J158" s="132" t="s">
        <v>148</v>
      </c>
    </row>
    <row r="159" spans="1:10" ht="14.25" customHeight="1">
      <c r="A159" s="229"/>
      <c r="B159" s="185"/>
      <c r="C159" s="110" t="s">
        <v>133</v>
      </c>
      <c r="D159" s="160">
        <v>20000</v>
      </c>
      <c r="E159" s="160">
        <v>30000</v>
      </c>
      <c r="F159" s="160">
        <v>25000</v>
      </c>
      <c r="G159" s="169">
        <f t="shared" si="35"/>
        <v>30.76923076923077</v>
      </c>
      <c r="H159" s="169">
        <f t="shared" si="36"/>
        <v>46.153846153846153</v>
      </c>
      <c r="I159" s="169">
        <f t="shared" si="37"/>
        <v>38.46153846153846</v>
      </c>
      <c r="J159" s="133" t="s">
        <v>150</v>
      </c>
    </row>
    <row r="160" spans="1:10" ht="14.25" customHeight="1">
      <c r="A160" s="229"/>
      <c r="B160" s="185"/>
      <c r="C160" s="110" t="s">
        <v>149</v>
      </c>
      <c r="D160" s="162">
        <v>20000</v>
      </c>
      <c r="E160" s="162">
        <v>40000</v>
      </c>
      <c r="F160" s="162">
        <v>25000</v>
      </c>
      <c r="G160" s="169">
        <f t="shared" si="35"/>
        <v>30.76923076923077</v>
      </c>
      <c r="H160" s="169">
        <f t="shared" si="36"/>
        <v>61.53846153846154</v>
      </c>
      <c r="I160" s="169">
        <f t="shared" si="37"/>
        <v>38.46153846153846</v>
      </c>
      <c r="J160" s="134" t="s">
        <v>151</v>
      </c>
    </row>
    <row r="161" spans="1:10" ht="14.25" customHeight="1">
      <c r="A161" s="229"/>
      <c r="B161" s="186"/>
      <c r="C161" s="111" t="s">
        <v>134</v>
      </c>
      <c r="D161" s="162">
        <v>35000</v>
      </c>
      <c r="E161" s="162">
        <v>50000</v>
      </c>
      <c r="F161" s="162">
        <v>45000</v>
      </c>
      <c r="G161" s="169">
        <f t="shared" si="35"/>
        <v>53.846153846153847</v>
      </c>
      <c r="H161" s="169">
        <f t="shared" si="36"/>
        <v>76.92307692307692</v>
      </c>
      <c r="I161" s="169">
        <f t="shared" si="37"/>
        <v>69.230769230769226</v>
      </c>
      <c r="J161" s="134" t="s">
        <v>152</v>
      </c>
    </row>
    <row r="162" spans="1:10" ht="14.25" customHeight="1">
      <c r="A162" s="229"/>
      <c r="B162" s="201" t="s">
        <v>48</v>
      </c>
      <c r="C162" s="111" t="s">
        <v>135</v>
      </c>
      <c r="D162" s="162">
        <v>150</v>
      </c>
      <c r="E162" s="162">
        <v>200</v>
      </c>
      <c r="F162" s="162">
        <v>175</v>
      </c>
      <c r="G162" s="169">
        <f t="shared" si="35"/>
        <v>0.23076923076923078</v>
      </c>
      <c r="H162" s="169">
        <f t="shared" si="36"/>
        <v>0.30769230769230771</v>
      </c>
      <c r="I162" s="169">
        <f t="shared" si="37"/>
        <v>0.26923076923076922</v>
      </c>
      <c r="J162" s="134" t="s">
        <v>153</v>
      </c>
    </row>
    <row r="163" spans="1:10" ht="14.25" customHeight="1">
      <c r="A163" s="229"/>
      <c r="B163" s="234"/>
      <c r="C163" s="111" t="s">
        <v>136</v>
      </c>
      <c r="D163" s="162">
        <v>125</v>
      </c>
      <c r="E163" s="162">
        <v>175</v>
      </c>
      <c r="F163" s="162">
        <v>150</v>
      </c>
      <c r="G163" s="169">
        <f t="shared" si="35"/>
        <v>0.19230769230769232</v>
      </c>
      <c r="H163" s="169">
        <f t="shared" si="36"/>
        <v>0.26923076923076922</v>
      </c>
      <c r="I163" s="169">
        <f t="shared" si="37"/>
        <v>0.23076923076923078</v>
      </c>
      <c r="J163" s="134" t="s">
        <v>154</v>
      </c>
    </row>
    <row r="164" spans="1:10" ht="14.25" customHeight="1">
      <c r="A164" s="230"/>
      <c r="B164" s="126" t="s">
        <v>138</v>
      </c>
      <c r="C164" s="111" t="s">
        <v>137</v>
      </c>
      <c r="D164" s="162">
        <v>17500</v>
      </c>
      <c r="E164" s="162">
        <v>37000</v>
      </c>
      <c r="F164" s="162">
        <v>27500</v>
      </c>
      <c r="G164" s="169">
        <f t="shared" si="35"/>
        <v>26.923076923076923</v>
      </c>
      <c r="H164" s="169">
        <f t="shared" si="36"/>
        <v>56.92307692307692</v>
      </c>
      <c r="I164" s="169">
        <f t="shared" si="37"/>
        <v>42.307692307692307</v>
      </c>
      <c r="J164" s="134" t="s">
        <v>155</v>
      </c>
    </row>
    <row r="165" spans="1:10" ht="14.25" customHeight="1">
      <c r="A165" s="235" t="s">
        <v>215</v>
      </c>
      <c r="B165" s="236"/>
      <c r="C165" s="236"/>
      <c r="D165" s="236"/>
      <c r="E165" s="236"/>
      <c r="F165" s="236"/>
      <c r="G165" s="236"/>
      <c r="H165" s="236"/>
      <c r="I165" s="236"/>
      <c r="J165" s="237"/>
    </row>
    <row r="166" spans="1:10" ht="14.25" customHeight="1">
      <c r="A166" s="228" t="s">
        <v>177</v>
      </c>
      <c r="B166" s="126" t="s">
        <v>49</v>
      </c>
      <c r="C166" s="111" t="s">
        <v>139</v>
      </c>
      <c r="D166" s="162">
        <v>300000</v>
      </c>
      <c r="E166" s="162">
        <v>1000000</v>
      </c>
      <c r="F166" s="162">
        <v>800000</v>
      </c>
      <c r="G166" s="169">
        <f t="shared" ref="G166" si="38">D166/650</f>
        <v>461.53846153846155</v>
      </c>
      <c r="H166" s="169">
        <f t="shared" ref="H166" si="39">E166/650</f>
        <v>1538.4615384615386</v>
      </c>
      <c r="I166" s="169">
        <f t="shared" ref="I166" si="40">F166/650</f>
        <v>1230.7692307692307</v>
      </c>
      <c r="J166" s="127"/>
    </row>
    <row r="167" spans="1:10" ht="14.25" customHeight="1">
      <c r="A167" s="229"/>
      <c r="B167" s="126" t="s">
        <v>50</v>
      </c>
      <c r="C167" s="111" t="s">
        <v>140</v>
      </c>
      <c r="D167" s="162">
        <v>300000</v>
      </c>
      <c r="E167" s="162">
        <v>1000000</v>
      </c>
      <c r="F167" s="162">
        <v>800000</v>
      </c>
      <c r="G167" s="169">
        <f t="shared" ref="G167:G171" si="41">D167/650</f>
        <v>461.53846153846155</v>
      </c>
      <c r="H167" s="169">
        <f t="shared" ref="H167:H171" si="42">E167/650</f>
        <v>1538.4615384615386</v>
      </c>
      <c r="I167" s="169">
        <f t="shared" ref="I167:I171" si="43">F167/650</f>
        <v>1230.7692307692307</v>
      </c>
      <c r="J167" s="127"/>
    </row>
    <row r="168" spans="1:10" ht="14.25" customHeight="1">
      <c r="A168" s="230"/>
      <c r="B168" s="163" t="s">
        <v>165</v>
      </c>
      <c r="C168" s="111" t="s">
        <v>141</v>
      </c>
      <c r="D168" s="162">
        <v>300000</v>
      </c>
      <c r="E168" s="162">
        <v>1000000</v>
      </c>
      <c r="F168" s="162">
        <v>800000</v>
      </c>
      <c r="G168" s="169">
        <f t="shared" si="41"/>
        <v>461.53846153846155</v>
      </c>
      <c r="H168" s="169">
        <f t="shared" si="42"/>
        <v>1538.4615384615386</v>
      </c>
      <c r="I168" s="169">
        <f t="shared" si="43"/>
        <v>1230.7692307692307</v>
      </c>
      <c r="J168" s="127"/>
    </row>
    <row r="169" spans="1:10" ht="14.25" customHeight="1">
      <c r="A169" s="228" t="s">
        <v>178</v>
      </c>
      <c r="B169" s="109"/>
      <c r="C169" s="111" t="s">
        <v>142</v>
      </c>
      <c r="D169" s="164">
        <v>60000</v>
      </c>
      <c r="E169" s="164">
        <v>300000</v>
      </c>
      <c r="F169" s="118">
        <f>(D169+E169)/2</f>
        <v>180000</v>
      </c>
      <c r="G169" s="169">
        <f t="shared" si="41"/>
        <v>92.307692307692307</v>
      </c>
      <c r="H169" s="169">
        <f t="shared" si="42"/>
        <v>461.53846153846155</v>
      </c>
      <c r="I169" s="169">
        <f t="shared" si="43"/>
        <v>276.92307692307691</v>
      </c>
      <c r="J169" s="109"/>
    </row>
    <row r="170" spans="1:10" ht="14.25" customHeight="1">
      <c r="A170" s="229"/>
      <c r="B170" s="109"/>
      <c r="C170" s="111" t="s">
        <v>140</v>
      </c>
      <c r="D170" s="164">
        <v>60000</v>
      </c>
      <c r="E170" s="164">
        <v>300000</v>
      </c>
      <c r="F170" s="118">
        <f>(D170+E170)/2</f>
        <v>180000</v>
      </c>
      <c r="G170" s="169">
        <f t="shared" si="41"/>
        <v>92.307692307692307</v>
      </c>
      <c r="H170" s="169">
        <f t="shared" si="42"/>
        <v>461.53846153846155</v>
      </c>
      <c r="I170" s="169">
        <f t="shared" si="43"/>
        <v>276.92307692307691</v>
      </c>
      <c r="J170" s="109"/>
    </row>
    <row r="171" spans="1:10" ht="14.25" customHeight="1">
      <c r="A171" s="230"/>
      <c r="B171" s="109"/>
      <c r="C171" s="111" t="s">
        <v>141</v>
      </c>
      <c r="D171" s="164">
        <v>60000</v>
      </c>
      <c r="E171" s="164">
        <v>300000</v>
      </c>
      <c r="F171" s="118">
        <f>(D171+E171)/2</f>
        <v>180000</v>
      </c>
      <c r="G171" s="169">
        <f t="shared" si="41"/>
        <v>92.307692307692307</v>
      </c>
      <c r="H171" s="169">
        <f t="shared" si="42"/>
        <v>461.53846153846155</v>
      </c>
      <c r="I171" s="169">
        <f t="shared" si="43"/>
        <v>276.92307692307691</v>
      </c>
      <c r="J171" s="109"/>
    </row>
    <row r="172" spans="1:10" ht="14.25" customHeight="1"/>
    <row r="173" spans="1:10" ht="14.25" customHeight="1"/>
    <row r="174" spans="1:10" ht="14.25" customHeight="1"/>
    <row r="175" spans="1:10" ht="14.25" customHeight="1"/>
    <row r="176" spans="1:10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  <row r="1011" ht="14.25" customHeight="1"/>
    <row r="1012" ht="14.25" customHeight="1"/>
    <row r="1013" ht="14.25" customHeight="1"/>
    <row r="1014" ht="14.25" customHeight="1"/>
    <row r="1015" ht="14.25" customHeight="1"/>
    <row r="1016" ht="14.25" customHeight="1"/>
    <row r="1017" ht="14.25" customHeight="1"/>
    <row r="1018" ht="14.25" customHeight="1"/>
    <row r="1019" ht="14.25" customHeight="1"/>
    <row r="1020" ht="14.25" customHeight="1"/>
    <row r="1021" ht="14.25" customHeight="1"/>
    <row r="1022" ht="14.25" customHeight="1"/>
    <row r="1023" ht="14.25" customHeight="1"/>
    <row r="1024" ht="14.25" customHeight="1"/>
    <row r="1025" ht="14.25" customHeight="1"/>
    <row r="1026" ht="14.25" customHeight="1"/>
    <row r="1027" ht="14.25" customHeight="1"/>
    <row r="1028" ht="14.25" customHeight="1"/>
    <row r="1029" ht="14.25" customHeight="1"/>
    <row r="1030" ht="14.25" customHeight="1"/>
    <row r="1031" ht="14.25" customHeight="1"/>
    <row r="1032" ht="14.25" customHeight="1"/>
    <row r="1033" ht="14.25" customHeight="1"/>
    <row r="1034" ht="14.25" customHeight="1"/>
    <row r="1035" ht="14.25" customHeight="1"/>
    <row r="1036" ht="14.25" customHeight="1"/>
    <row r="1037" ht="14.25" customHeight="1"/>
    <row r="1038" ht="14.25" customHeight="1"/>
    <row r="1039" ht="14.25" customHeight="1"/>
    <row r="1040" ht="14.25" customHeight="1"/>
    <row r="1041" ht="14.25" customHeight="1"/>
    <row r="1042" ht="14.25" customHeight="1"/>
    <row r="1043" ht="14.25" customHeight="1"/>
    <row r="1044" ht="14.25" customHeight="1"/>
    <row r="1045" ht="14.25" customHeight="1"/>
    <row r="1046" ht="14.25" customHeight="1"/>
    <row r="1047" ht="14.25" customHeight="1"/>
    <row r="1048" ht="14.25" customHeight="1"/>
    <row r="1049" ht="14.25" customHeight="1"/>
    <row r="1050" ht="14.25" customHeight="1"/>
    <row r="1051" ht="14.25" customHeight="1"/>
    <row r="1052" ht="14.25" customHeight="1"/>
    <row r="1053" ht="14.25" customHeight="1"/>
    <row r="1054" ht="14.25" customHeight="1"/>
    <row r="1055" ht="14.25" customHeight="1"/>
    <row r="1056" ht="14.25" customHeight="1"/>
    <row r="1057" ht="14.25" customHeight="1"/>
    <row r="1058" ht="14.25" customHeight="1"/>
    <row r="1059" ht="14.25" customHeight="1"/>
    <row r="1060" ht="14.25" customHeight="1"/>
    <row r="1061" ht="14.25" customHeight="1"/>
    <row r="1062" ht="14.25" customHeight="1"/>
    <row r="1063" ht="14.25" customHeight="1"/>
    <row r="1064" ht="14.25" customHeight="1"/>
    <row r="1065" ht="14.25" customHeight="1"/>
    <row r="1066" ht="14.25" customHeight="1"/>
    <row r="1067" ht="14.25" customHeight="1"/>
    <row r="1068" ht="14.25" customHeight="1"/>
    <row r="1069" ht="14.25" customHeight="1"/>
    <row r="1070" ht="14.25" customHeight="1"/>
    <row r="1071" ht="14.25" customHeight="1"/>
    <row r="1072" ht="14.25" customHeight="1"/>
    <row r="1073" ht="14.25" customHeight="1"/>
    <row r="1074" ht="14.25" customHeight="1"/>
    <row r="1075" ht="14.25" customHeight="1"/>
    <row r="1076" ht="14.25" customHeight="1"/>
    <row r="1077" ht="14.25" customHeight="1"/>
  </sheetData>
  <mergeCells count="60">
    <mergeCell ref="B138:B140"/>
    <mergeCell ref="B141:B146"/>
    <mergeCell ref="B147:B149"/>
    <mergeCell ref="B150:B151"/>
    <mergeCell ref="A169:A171"/>
    <mergeCell ref="A152:J152"/>
    <mergeCell ref="A153:A164"/>
    <mergeCell ref="B154:B161"/>
    <mergeCell ref="B162:B163"/>
    <mergeCell ref="A165:J165"/>
    <mergeCell ref="A166:A168"/>
    <mergeCell ref="A68:A151"/>
    <mergeCell ref="B68:B72"/>
    <mergeCell ref="B73:B79"/>
    <mergeCell ref="B81:B89"/>
    <mergeCell ref="J83:J87"/>
    <mergeCell ref="C133:C134"/>
    <mergeCell ref="D133:D134"/>
    <mergeCell ref="E133:E134"/>
    <mergeCell ref="J133:J134"/>
    <mergeCell ref="B135:B137"/>
    <mergeCell ref="B132:B134"/>
    <mergeCell ref="A5:J5"/>
    <mergeCell ref="A67:J67"/>
    <mergeCell ref="A1:J1"/>
    <mergeCell ref="B38:B44"/>
    <mergeCell ref="B50:B57"/>
    <mergeCell ref="B58:B62"/>
    <mergeCell ref="B3:B4"/>
    <mergeCell ref="C3:C4"/>
    <mergeCell ref="D3:F3"/>
    <mergeCell ref="G3:I3"/>
    <mergeCell ref="J3:J4"/>
    <mergeCell ref="A65:A66"/>
    <mergeCell ref="B6:B12"/>
    <mergeCell ref="B13:B14"/>
    <mergeCell ref="B15:B19"/>
    <mergeCell ref="B21:B25"/>
    <mergeCell ref="B26:B30"/>
    <mergeCell ref="A6:A14"/>
    <mergeCell ref="A33:J33"/>
    <mergeCell ref="A15:A19"/>
    <mergeCell ref="A20:A25"/>
    <mergeCell ref="A26:A32"/>
    <mergeCell ref="A34:A46"/>
    <mergeCell ref="A47:A64"/>
    <mergeCell ref="B34:B37"/>
    <mergeCell ref="F133:F134"/>
    <mergeCell ref="J101:J102"/>
    <mergeCell ref="J108:J109"/>
    <mergeCell ref="B108:B114"/>
    <mergeCell ref="B115:B120"/>
    <mergeCell ref="J115:J116"/>
    <mergeCell ref="B121:B124"/>
    <mergeCell ref="B125:B131"/>
    <mergeCell ref="B90:B92"/>
    <mergeCell ref="B93:B94"/>
    <mergeCell ref="B95:B97"/>
    <mergeCell ref="B98:B100"/>
    <mergeCell ref="B101:B107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36"/>
  <sheetViews>
    <sheetView topLeftCell="A25" workbookViewId="0">
      <selection activeCell="E49" sqref="E49:E54"/>
    </sheetView>
  </sheetViews>
  <sheetFormatPr defaultColWidth="10.85546875" defaultRowHeight="15"/>
  <cols>
    <col min="1" max="1" width="33" style="2" customWidth="1"/>
    <col min="2" max="2" width="22.7109375" style="2" customWidth="1"/>
    <col min="3" max="3" width="18.140625" style="2" customWidth="1"/>
    <col min="4" max="4" width="10.85546875" style="2"/>
    <col min="5" max="5" width="32.85546875" style="6" bestFit="1" customWidth="1"/>
    <col min="6" max="6" width="19.5703125" style="6" customWidth="1"/>
    <col min="7" max="7" width="28.85546875" style="2" customWidth="1"/>
    <col min="8" max="8" width="12.85546875" style="2" bestFit="1" customWidth="1"/>
    <col min="9" max="9" width="17.42578125" style="2" bestFit="1" customWidth="1"/>
    <col min="10" max="10" width="19" style="2" bestFit="1" customWidth="1"/>
    <col min="11" max="16384" width="10.85546875" style="2"/>
  </cols>
  <sheetData>
    <row r="1" spans="1:10" ht="33.950000000000003" customHeight="1">
      <c r="A1" s="4" t="s">
        <v>51</v>
      </c>
      <c r="B1" s="5" t="s">
        <v>52</v>
      </c>
      <c r="C1" s="255" t="s">
        <v>53</v>
      </c>
    </row>
    <row r="2" spans="1:10" ht="14.25" customHeight="1">
      <c r="A2" s="7" t="s">
        <v>54</v>
      </c>
      <c r="B2" s="8">
        <v>0.45</v>
      </c>
      <c r="C2" s="256">
        <f>B2*30</f>
        <v>13.5</v>
      </c>
    </row>
    <row r="3" spans="1:10" ht="14.25" customHeight="1">
      <c r="A3" s="7" t="s">
        <v>55</v>
      </c>
      <c r="B3" s="8">
        <v>0.1</v>
      </c>
      <c r="C3" s="256">
        <f>B3*30</f>
        <v>3</v>
      </c>
    </row>
    <row r="4" spans="1:10" ht="14.25" customHeight="1">
      <c r="A4" s="7" t="s">
        <v>56</v>
      </c>
      <c r="B4" s="8">
        <v>2.5000000000000001E-2</v>
      </c>
      <c r="C4" s="256">
        <f>B4*30</f>
        <v>0.75</v>
      </c>
    </row>
    <row r="5" spans="1:10" ht="14.25" customHeight="1">
      <c r="A5" s="9" t="s">
        <v>57</v>
      </c>
      <c r="B5" s="10">
        <v>5.0000000000000001E-3</v>
      </c>
      <c r="C5" s="257">
        <f>B5*30</f>
        <v>0.15</v>
      </c>
      <c r="E5" s="6">
        <f>B11*6</f>
        <v>81</v>
      </c>
    </row>
    <row r="6" spans="1:10">
      <c r="E6" s="6">
        <f>B12*6</f>
        <v>18</v>
      </c>
    </row>
    <row r="8" spans="1:10" ht="14.25" customHeight="1">
      <c r="A8" s="11" t="s">
        <v>58</v>
      </c>
      <c r="B8" s="96">
        <v>1</v>
      </c>
      <c r="C8" s="12" t="s">
        <v>59</v>
      </c>
      <c r="D8" s="97">
        <v>1</v>
      </c>
      <c r="F8" s="13" t="s">
        <v>122</v>
      </c>
      <c r="G8" s="98">
        <v>1</v>
      </c>
      <c r="I8" s="15" t="s">
        <v>61</v>
      </c>
      <c r="J8" s="16">
        <f>'[1]RECAP &amp; RATIOS'!I3</f>
        <v>584.84040656205423</v>
      </c>
    </row>
    <row r="10" spans="1:10" ht="57" customHeight="1">
      <c r="A10" s="17" t="s">
        <v>62</v>
      </c>
      <c r="B10" s="18" t="s">
        <v>63</v>
      </c>
      <c r="C10" s="18" t="s">
        <v>64</v>
      </c>
      <c r="D10" s="18" t="s">
        <v>65</v>
      </c>
      <c r="E10" s="18" t="s">
        <v>66</v>
      </c>
      <c r="F10" s="19" t="s">
        <v>127</v>
      </c>
      <c r="G10" s="1"/>
      <c r="H10" s="246" t="s">
        <v>124</v>
      </c>
      <c r="I10" s="247"/>
    </row>
    <row r="11" spans="1:10" ht="14.25" customHeight="1">
      <c r="A11" s="20" t="s">
        <v>68</v>
      </c>
      <c r="B11" s="21">
        <f>C2</f>
        <v>13.5</v>
      </c>
      <c r="C11" s="21" t="s">
        <v>69</v>
      </c>
      <c r="D11" s="259">
        <v>600</v>
      </c>
      <c r="E11" s="22">
        <f>D11*B11</f>
        <v>8100</v>
      </c>
      <c r="F11" s="22"/>
      <c r="G11" s="1"/>
      <c r="H11" s="248"/>
      <c r="I11" s="171"/>
      <c r="J11" s="2" t="b">
        <f>B11*D11=E11</f>
        <v>1</v>
      </c>
    </row>
    <row r="12" spans="1:10" ht="14.25" customHeight="1">
      <c r="A12" s="20" t="s">
        <v>55</v>
      </c>
      <c r="B12" s="21">
        <f t="shared" ref="B12:B14" si="0">C3</f>
        <v>3</v>
      </c>
      <c r="C12" s="21" t="s">
        <v>69</v>
      </c>
      <c r="D12" s="259">
        <v>750</v>
      </c>
      <c r="E12" s="22">
        <f>D12*B12</f>
        <v>2250</v>
      </c>
      <c r="F12" s="22"/>
      <c r="G12" s="1"/>
      <c r="H12" s="171"/>
      <c r="I12" s="171"/>
      <c r="J12" s="2" t="b">
        <f>B12*D12=E12</f>
        <v>1</v>
      </c>
    </row>
    <row r="13" spans="1:10" ht="14.25" customHeight="1">
      <c r="A13" s="20" t="s">
        <v>56</v>
      </c>
      <c r="B13" s="21">
        <f t="shared" si="0"/>
        <v>0.75</v>
      </c>
      <c r="C13" s="21" t="s">
        <v>69</v>
      </c>
      <c r="D13" s="259">
        <v>1500</v>
      </c>
      <c r="E13" s="22">
        <f>D13*B13</f>
        <v>1125</v>
      </c>
      <c r="F13" s="22"/>
      <c r="G13" s="1"/>
      <c r="H13" s="171"/>
      <c r="I13" s="171"/>
      <c r="J13" s="2" t="b">
        <f>B13*D13=E13</f>
        <v>1</v>
      </c>
    </row>
    <row r="14" spans="1:10" ht="14.25" customHeight="1">
      <c r="A14" s="20" t="s">
        <v>57</v>
      </c>
      <c r="B14" s="21">
        <f t="shared" si="0"/>
        <v>0.15</v>
      </c>
      <c r="C14" s="21" t="s">
        <v>69</v>
      </c>
      <c r="D14" s="259">
        <v>500</v>
      </c>
      <c r="E14" s="22">
        <f>D14*B14</f>
        <v>75</v>
      </c>
      <c r="F14" s="22"/>
      <c r="G14" s="1"/>
      <c r="H14" s="171"/>
      <c r="I14" s="171"/>
      <c r="J14" s="2" t="b">
        <f>B14*D14=E14</f>
        <v>1</v>
      </c>
    </row>
    <row r="15" spans="1:10" ht="14.25" customHeight="1">
      <c r="A15" s="249" t="s">
        <v>70</v>
      </c>
      <c r="B15" s="171"/>
      <c r="C15" s="171"/>
      <c r="D15" s="171"/>
      <c r="E15" s="23">
        <f>(E11+E12+E13+E14)*B8</f>
        <v>11550</v>
      </c>
      <c r="F15" s="24">
        <f>E15*G8</f>
        <v>11550</v>
      </c>
      <c r="G15" s="25"/>
      <c r="H15" s="171"/>
      <c r="I15" s="171"/>
    </row>
    <row r="16" spans="1:10" ht="14.25" customHeight="1" thickBot="1">
      <c r="A16" s="250" t="s">
        <v>71</v>
      </c>
      <c r="B16" s="247"/>
      <c r="C16" s="247"/>
      <c r="D16" s="247"/>
      <c r="E16" s="26">
        <f>E15*6</f>
        <v>69300</v>
      </c>
      <c r="F16" s="26">
        <f>E16*G8</f>
        <v>69300</v>
      </c>
      <c r="G16" s="25"/>
      <c r="H16" s="171"/>
      <c r="I16" s="171"/>
    </row>
    <row r="17" spans="1:10" ht="14.25" customHeight="1">
      <c r="A17" s="91"/>
      <c r="B17" s="92"/>
      <c r="C17" s="92"/>
      <c r="D17" s="92"/>
      <c r="E17" s="90"/>
      <c r="F17" s="90"/>
      <c r="G17" s="25"/>
      <c r="H17" s="27">
        <f>F16+F26</f>
        <v>71724</v>
      </c>
      <c r="I17" s="28">
        <f>H17/J8</f>
        <v>122.63858515116083</v>
      </c>
      <c r="J17" s="29"/>
    </row>
    <row r="18" spans="1:10">
      <c r="A18" s="92"/>
      <c r="B18" s="92"/>
      <c r="C18" s="92"/>
      <c r="D18" s="92"/>
      <c r="E18" s="92"/>
      <c r="F18" s="92"/>
      <c r="G18" s="25"/>
      <c r="H18" s="30" t="s">
        <v>72</v>
      </c>
      <c r="I18" s="31">
        <v>0</v>
      </c>
    </row>
    <row r="19" spans="1:10">
      <c r="A19" s="93"/>
      <c r="B19" s="93"/>
      <c r="C19" s="94"/>
      <c r="D19" s="93"/>
      <c r="E19" s="95"/>
      <c r="F19" s="93"/>
      <c r="G19" s="1"/>
      <c r="H19" s="30" t="s">
        <v>30</v>
      </c>
      <c r="I19" s="31">
        <v>0</v>
      </c>
    </row>
    <row r="20" spans="1:10">
      <c r="A20" s="1"/>
      <c r="B20" s="1"/>
      <c r="C20" s="1"/>
      <c r="D20" s="1"/>
      <c r="E20" s="1"/>
      <c r="F20" s="1"/>
      <c r="G20" s="1"/>
      <c r="H20" s="30" t="s">
        <v>73</v>
      </c>
      <c r="I20" s="31">
        <f>E31/J8</f>
        <v>3.949795489643376</v>
      </c>
    </row>
    <row r="21" spans="1:10" ht="14.25" customHeight="1">
      <c r="A21" s="33" t="s">
        <v>74</v>
      </c>
      <c r="B21" s="34"/>
      <c r="C21" s="1"/>
      <c r="D21" s="1"/>
      <c r="E21" s="1"/>
      <c r="F21" s="1"/>
      <c r="G21" s="1"/>
      <c r="H21" s="35" t="s">
        <v>75</v>
      </c>
      <c r="I21" s="36">
        <f>SUM(I17:I20)</f>
        <v>126.5883806408042</v>
      </c>
    </row>
    <row r="22" spans="1:10">
      <c r="A22" s="1"/>
      <c r="B22" s="1"/>
      <c r="C22" s="1"/>
      <c r="D22" s="1"/>
      <c r="E22" s="1"/>
      <c r="F22" s="1"/>
      <c r="G22" s="1"/>
      <c r="H22" s="99"/>
      <c r="I22" s="100"/>
      <c r="J22" s="39"/>
    </row>
    <row r="23" spans="1:10" ht="21" customHeight="1">
      <c r="A23" s="18" t="s">
        <v>76</v>
      </c>
      <c r="B23" s="18" t="s">
        <v>63</v>
      </c>
      <c r="C23" s="18" t="s">
        <v>77</v>
      </c>
      <c r="D23" s="18" t="s">
        <v>65</v>
      </c>
      <c r="E23" s="19" t="s">
        <v>78</v>
      </c>
      <c r="F23" s="19" t="s">
        <v>79</v>
      </c>
      <c r="G23" s="40"/>
      <c r="H23" s="101" t="s">
        <v>121</v>
      </c>
      <c r="I23" s="102">
        <f>I21/3</f>
        <v>42.196126880268068</v>
      </c>
      <c r="J23" s="39"/>
    </row>
    <row r="24" spans="1:10" ht="14.25" customHeight="1">
      <c r="A24" s="41" t="s">
        <v>80</v>
      </c>
      <c r="B24" s="8">
        <f>D8</f>
        <v>1</v>
      </c>
      <c r="C24" s="8" t="s">
        <v>81</v>
      </c>
      <c r="D24" s="8">
        <v>424</v>
      </c>
      <c r="E24" s="42">
        <f>D24*B24</f>
        <v>424</v>
      </c>
      <c r="F24" s="8">
        <f>E24</f>
        <v>424</v>
      </c>
      <c r="G24" s="1"/>
      <c r="H24" s="1"/>
      <c r="I24" s="1"/>
      <c r="J24" s="2" t="b">
        <f>B24*D24=E24</f>
        <v>1</v>
      </c>
    </row>
    <row r="25" spans="1:10" ht="14.25" customHeight="1">
      <c r="A25" s="43" t="s">
        <v>82</v>
      </c>
      <c r="B25" s="8">
        <f>B24</f>
        <v>1</v>
      </c>
      <c r="C25" s="8" t="s">
        <v>83</v>
      </c>
      <c r="D25" s="8">
        <v>2000</v>
      </c>
      <c r="E25" s="42">
        <f>D25*B25</f>
        <v>2000</v>
      </c>
      <c r="F25" s="8">
        <f>E25*G8</f>
        <v>2000</v>
      </c>
      <c r="G25" s="1"/>
      <c r="H25" s="1"/>
      <c r="I25" s="1"/>
      <c r="J25" s="2" t="b">
        <f>B25*D25=E25</f>
        <v>1</v>
      </c>
    </row>
    <row r="26" spans="1:10" ht="14.25" customHeight="1">
      <c r="A26" s="251" t="s">
        <v>84</v>
      </c>
      <c r="B26" s="171"/>
      <c r="C26" s="171"/>
      <c r="D26" s="171"/>
      <c r="E26" s="171"/>
      <c r="F26" s="44">
        <f>F24+F25</f>
        <v>2424</v>
      </c>
      <c r="G26" s="1"/>
      <c r="H26" s="1"/>
      <c r="I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</row>
    <row r="29" spans="1:10">
      <c r="A29" s="45" t="s">
        <v>85</v>
      </c>
      <c r="B29" s="1"/>
      <c r="C29" s="1"/>
      <c r="D29" s="1"/>
      <c r="E29" s="1"/>
      <c r="F29" s="1"/>
      <c r="G29" s="32"/>
      <c r="H29" s="89"/>
      <c r="I29" s="1"/>
    </row>
    <row r="30" spans="1:10">
      <c r="A30" s="19" t="s">
        <v>86</v>
      </c>
      <c r="B30" s="18" t="s">
        <v>118</v>
      </c>
      <c r="C30" s="18" t="s">
        <v>64</v>
      </c>
      <c r="D30" s="19" t="s">
        <v>87</v>
      </c>
      <c r="E30" s="18" t="s">
        <v>84</v>
      </c>
      <c r="F30" s="1"/>
      <c r="G30" s="1"/>
      <c r="H30" s="1"/>
      <c r="I30" s="1"/>
    </row>
    <row r="31" spans="1:10">
      <c r="A31" s="1" t="s">
        <v>125</v>
      </c>
      <c r="B31" s="46">
        <f>(F16*10%)/3</f>
        <v>2310</v>
      </c>
      <c r="C31" s="47" t="s">
        <v>88</v>
      </c>
      <c r="D31" s="48">
        <v>1</v>
      </c>
      <c r="E31" s="49">
        <f>B31*D31</f>
        <v>2310</v>
      </c>
      <c r="F31" s="1"/>
      <c r="G31" s="1"/>
      <c r="H31" s="1"/>
      <c r="I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</row>
    <row r="34" spans="1:10">
      <c r="A34" s="1"/>
      <c r="B34" s="1"/>
      <c r="C34" s="1"/>
      <c r="D34" s="1"/>
      <c r="E34" s="1"/>
      <c r="F34" s="50"/>
      <c r="G34" s="1"/>
      <c r="H34" s="1"/>
      <c r="I34" s="1"/>
    </row>
    <row r="35" spans="1:10" ht="14.25" customHeight="1">
      <c r="A35" s="51" t="s">
        <v>89</v>
      </c>
      <c r="B35" s="52"/>
      <c r="C35" s="52"/>
      <c r="D35" s="52"/>
      <c r="E35" s="52"/>
      <c r="F35" s="53"/>
      <c r="G35" s="52"/>
      <c r="H35" s="52"/>
      <c r="I35" s="1"/>
    </row>
    <row r="36" spans="1:10" ht="25.5">
      <c r="A36" s="54" t="s">
        <v>90</v>
      </c>
      <c r="B36" s="55" t="s">
        <v>91</v>
      </c>
      <c r="C36" s="55" t="s">
        <v>64</v>
      </c>
      <c r="D36" s="55" t="s">
        <v>63</v>
      </c>
      <c r="E36" s="56" t="s">
        <v>92</v>
      </c>
      <c r="F36" s="57" t="s">
        <v>93</v>
      </c>
      <c r="G36" s="58" t="s">
        <v>94</v>
      </c>
      <c r="H36" s="59" t="s">
        <v>95</v>
      </c>
      <c r="I36" s="1"/>
    </row>
    <row r="37" spans="1:10" ht="57">
      <c r="A37" s="60" t="s">
        <v>96</v>
      </c>
      <c r="B37" s="61">
        <v>1</v>
      </c>
      <c r="C37" s="62" t="s">
        <v>64</v>
      </c>
      <c r="D37" s="63">
        <v>6</v>
      </c>
      <c r="E37" s="264">
        <v>150000</v>
      </c>
      <c r="F37" s="64">
        <f>E37*D37*B37</f>
        <v>900000</v>
      </c>
      <c r="G37" s="65">
        <f>F37/J$8</f>
        <v>1538.8813596013154</v>
      </c>
      <c r="H37" s="260" t="s">
        <v>97</v>
      </c>
      <c r="I37" s="1"/>
      <c r="J37" s="66" t="b">
        <f t="shared" ref="J37:J42" si="1">B37*D37*E37=F37</f>
        <v>1</v>
      </c>
    </row>
    <row r="38" spans="1:10" ht="39">
      <c r="A38" s="67" t="s">
        <v>98</v>
      </c>
      <c r="B38" s="61">
        <v>1</v>
      </c>
      <c r="C38" s="68" t="s">
        <v>64</v>
      </c>
      <c r="D38" s="63">
        <v>6</v>
      </c>
      <c r="E38" s="267">
        <v>500000</v>
      </c>
      <c r="F38" s="64">
        <f>B38*D38*E38</f>
        <v>3000000</v>
      </c>
      <c r="G38" s="65">
        <f t="shared" ref="G38:G43" si="2">F38/J$8</f>
        <v>5129.6045320043841</v>
      </c>
      <c r="H38" s="260" t="s">
        <v>99</v>
      </c>
      <c r="I38" s="1"/>
      <c r="J38" s="66" t="b">
        <f t="shared" si="1"/>
        <v>1</v>
      </c>
    </row>
    <row r="39" spans="1:10">
      <c r="A39" s="69" t="s">
        <v>100</v>
      </c>
      <c r="B39" s="61">
        <v>72</v>
      </c>
      <c r="C39" s="68" t="s">
        <v>101</v>
      </c>
      <c r="D39" s="70">
        <v>5</v>
      </c>
      <c r="E39" s="269">
        <v>10000</v>
      </c>
      <c r="F39" s="64">
        <f>B39*D39*E39</f>
        <v>3600000</v>
      </c>
      <c r="G39" s="65">
        <f t="shared" si="2"/>
        <v>6155.5254384052614</v>
      </c>
      <c r="H39" s="71"/>
      <c r="I39" s="1"/>
      <c r="J39" s="66" t="b">
        <f t="shared" si="1"/>
        <v>1</v>
      </c>
    </row>
    <row r="40" spans="1:10">
      <c r="A40" s="69" t="s">
        <v>102</v>
      </c>
      <c r="B40" s="61">
        <f>B39/2</f>
        <v>36</v>
      </c>
      <c r="C40" s="68" t="s">
        <v>103</v>
      </c>
      <c r="D40" s="72">
        <v>2</v>
      </c>
      <c r="E40" s="267">
        <v>50000</v>
      </c>
      <c r="F40" s="64">
        <f>B40*D40*E40</f>
        <v>3600000</v>
      </c>
      <c r="G40" s="65">
        <f t="shared" si="2"/>
        <v>6155.5254384052614</v>
      </c>
      <c r="H40" s="71"/>
      <c r="I40" s="1"/>
      <c r="J40" s="66" t="b">
        <f t="shared" si="1"/>
        <v>1</v>
      </c>
    </row>
    <row r="41" spans="1:10" ht="26.25">
      <c r="A41" s="69" t="s">
        <v>104</v>
      </c>
      <c r="B41" s="61">
        <f>B40</f>
        <v>36</v>
      </c>
      <c r="C41" s="68" t="s">
        <v>105</v>
      </c>
      <c r="D41" s="72">
        <v>200</v>
      </c>
      <c r="E41" s="72">
        <v>700</v>
      </c>
      <c r="F41" s="64">
        <f>B41*D41*E41</f>
        <v>5040000</v>
      </c>
      <c r="G41" s="65">
        <f t="shared" si="2"/>
        <v>8617.7356137673651</v>
      </c>
      <c r="H41" s="71"/>
      <c r="I41" s="1"/>
      <c r="J41" s="66" t="b">
        <f t="shared" si="1"/>
        <v>1</v>
      </c>
    </row>
    <row r="42" spans="1:10">
      <c r="A42" s="69" t="s">
        <v>106</v>
      </c>
      <c r="B42" s="61">
        <f>B41</f>
        <v>36</v>
      </c>
      <c r="C42" s="68" t="s">
        <v>107</v>
      </c>
      <c r="D42" s="72">
        <v>2</v>
      </c>
      <c r="E42" s="72">
        <v>40000</v>
      </c>
      <c r="F42" s="64">
        <f>B42*D42*E42</f>
        <v>2880000</v>
      </c>
      <c r="G42" s="65">
        <f t="shared" si="2"/>
        <v>4924.4203507242091</v>
      </c>
      <c r="H42" s="71"/>
      <c r="I42" s="1"/>
      <c r="J42" s="66" t="b">
        <f t="shared" si="1"/>
        <v>1</v>
      </c>
    </row>
    <row r="43" spans="1:10">
      <c r="A43" s="252" t="s">
        <v>108</v>
      </c>
      <c r="B43" s="253"/>
      <c r="C43" s="253"/>
      <c r="D43" s="253"/>
      <c r="E43" s="254"/>
      <c r="F43" s="64">
        <f>F44/H44</f>
        <v>264166.66666666669</v>
      </c>
      <c r="G43" s="65">
        <f t="shared" si="2"/>
        <v>451.69017684594166</v>
      </c>
      <c r="H43" s="71"/>
      <c r="I43" s="1"/>
    </row>
    <row r="44" spans="1:10">
      <c r="A44" s="243" t="s">
        <v>109</v>
      </c>
      <c r="B44" s="244"/>
      <c r="C44" s="244"/>
      <c r="D44" s="244"/>
      <c r="E44" s="245"/>
      <c r="F44" s="73">
        <f>SUM(F37:F42)</f>
        <v>19020000</v>
      </c>
      <c r="G44" s="74">
        <f>F44/J$8</f>
        <v>32521.692732907795</v>
      </c>
      <c r="H44" s="75">
        <f>12*6</f>
        <v>72</v>
      </c>
      <c r="I44" s="76">
        <f>G44/H44</f>
        <v>451.69017684594161</v>
      </c>
    </row>
    <row r="45" spans="1:10">
      <c r="A45" s="1"/>
      <c r="B45" s="1"/>
      <c r="C45" s="1"/>
      <c r="D45" s="1"/>
      <c r="E45" s="1"/>
      <c r="F45" s="1"/>
      <c r="G45" s="77"/>
      <c r="H45" s="1"/>
      <c r="I45" s="1"/>
    </row>
    <row r="46" spans="1:10">
      <c r="A46" s="1"/>
      <c r="B46" s="1"/>
      <c r="C46" s="1"/>
      <c r="D46" s="1"/>
      <c r="E46" s="1"/>
      <c r="F46" s="1"/>
      <c r="G46" s="1"/>
      <c r="H46" s="1"/>
      <c r="I46" s="1"/>
    </row>
    <row r="47" spans="1:10">
      <c r="A47" s="51" t="s">
        <v>110</v>
      </c>
      <c r="B47" s="52"/>
      <c r="C47" s="52"/>
      <c r="D47" s="52"/>
      <c r="E47" s="52"/>
      <c r="F47" s="53"/>
      <c r="G47" s="52"/>
      <c r="H47" s="52"/>
      <c r="I47" s="1"/>
    </row>
    <row r="48" spans="1:10" ht="25.5">
      <c r="A48" s="54" t="s">
        <v>90</v>
      </c>
      <c r="B48" s="55" t="s">
        <v>91</v>
      </c>
      <c r="C48" s="55" t="s">
        <v>64</v>
      </c>
      <c r="D48" s="55" t="s">
        <v>63</v>
      </c>
      <c r="E48" s="56" t="s">
        <v>92</v>
      </c>
      <c r="F48" s="57" t="s">
        <v>93</v>
      </c>
      <c r="G48" s="58" t="s">
        <v>94</v>
      </c>
      <c r="H48" s="59" t="s">
        <v>95</v>
      </c>
      <c r="I48" s="1"/>
    </row>
    <row r="49" spans="1:10">
      <c r="A49" s="78" t="s">
        <v>111</v>
      </c>
      <c r="B49" s="79">
        <v>1</v>
      </c>
      <c r="C49" s="80" t="s">
        <v>112</v>
      </c>
      <c r="D49" s="80">
        <v>300</v>
      </c>
      <c r="E49" s="278">
        <v>200</v>
      </c>
      <c r="F49" s="81">
        <f t="shared" ref="F49:F54" si="3">B49*D49*E49</f>
        <v>60000</v>
      </c>
      <c r="G49" s="82">
        <f t="shared" ref="G49:G55" si="4">F49/J$8</f>
        <v>102.59209064008769</v>
      </c>
      <c r="H49" s="83"/>
      <c r="I49" s="1"/>
      <c r="J49" s="66" t="b">
        <f t="shared" ref="J49:J54" si="5">B49*D49*E49=F49</f>
        <v>1</v>
      </c>
    </row>
    <row r="50" spans="1:10">
      <c r="A50" s="84" t="s">
        <v>113</v>
      </c>
      <c r="B50" s="79">
        <v>1</v>
      </c>
      <c r="C50" s="85" t="s">
        <v>103</v>
      </c>
      <c r="D50" s="86">
        <v>2</v>
      </c>
      <c r="E50" s="281">
        <v>50000</v>
      </c>
      <c r="F50" s="81">
        <f t="shared" si="3"/>
        <v>100000</v>
      </c>
      <c r="G50" s="82">
        <f t="shared" si="4"/>
        <v>170.98681773347948</v>
      </c>
      <c r="H50" s="83"/>
      <c r="I50" s="1"/>
      <c r="J50" s="66" t="b">
        <f t="shared" si="5"/>
        <v>1</v>
      </c>
    </row>
    <row r="51" spans="1:10">
      <c r="A51" s="84" t="s">
        <v>104</v>
      </c>
      <c r="B51" s="79">
        <v>1</v>
      </c>
      <c r="C51" s="85" t="s">
        <v>105</v>
      </c>
      <c r="D51" s="86">
        <v>200</v>
      </c>
      <c r="E51" s="280">
        <v>700</v>
      </c>
      <c r="F51" s="81">
        <f t="shared" si="3"/>
        <v>140000</v>
      </c>
      <c r="G51" s="82">
        <f t="shared" si="4"/>
        <v>239.38154482687128</v>
      </c>
      <c r="H51" s="87"/>
      <c r="I51" s="1"/>
      <c r="J51" s="66" t="b">
        <f t="shared" si="5"/>
        <v>1</v>
      </c>
    </row>
    <row r="52" spans="1:10">
      <c r="A52" s="84" t="s">
        <v>114</v>
      </c>
      <c r="B52" s="79">
        <v>7</v>
      </c>
      <c r="C52" s="85" t="s">
        <v>101</v>
      </c>
      <c r="D52" s="88">
        <v>5</v>
      </c>
      <c r="E52" s="282">
        <v>10000</v>
      </c>
      <c r="F52" s="81">
        <f t="shared" si="3"/>
        <v>350000</v>
      </c>
      <c r="G52" s="82">
        <f t="shared" si="4"/>
        <v>598.45386206717819</v>
      </c>
      <c r="H52" s="87"/>
      <c r="I52" s="1"/>
      <c r="J52" s="66" t="b">
        <f t="shared" si="5"/>
        <v>1</v>
      </c>
    </row>
    <row r="53" spans="1:10">
      <c r="A53" s="84" t="s">
        <v>115</v>
      </c>
      <c r="B53" s="79">
        <v>2</v>
      </c>
      <c r="C53" s="85" t="s">
        <v>101</v>
      </c>
      <c r="D53" s="88">
        <v>5</v>
      </c>
      <c r="E53" s="282">
        <v>10000</v>
      </c>
      <c r="F53" s="81">
        <f t="shared" si="3"/>
        <v>100000</v>
      </c>
      <c r="G53" s="82">
        <f t="shared" si="4"/>
        <v>170.98681773347948</v>
      </c>
      <c r="H53" s="87"/>
      <c r="I53" s="1"/>
      <c r="J53" s="66" t="b">
        <f t="shared" si="5"/>
        <v>1</v>
      </c>
    </row>
    <row r="54" spans="1:10">
      <c r="A54" s="84" t="s">
        <v>116</v>
      </c>
      <c r="B54" s="79">
        <v>1</v>
      </c>
      <c r="C54" s="85" t="s">
        <v>107</v>
      </c>
      <c r="D54" s="86">
        <v>2</v>
      </c>
      <c r="E54" s="281">
        <v>40000</v>
      </c>
      <c r="F54" s="81">
        <f t="shared" si="3"/>
        <v>80000</v>
      </c>
      <c r="G54" s="82">
        <f t="shared" si="4"/>
        <v>136.78945418678359</v>
      </c>
      <c r="H54" s="87"/>
      <c r="I54" s="1"/>
      <c r="J54" s="66" t="b">
        <f t="shared" si="5"/>
        <v>1</v>
      </c>
    </row>
    <row r="55" spans="1:10">
      <c r="A55" s="243" t="s">
        <v>117</v>
      </c>
      <c r="B55" s="244"/>
      <c r="C55" s="244"/>
      <c r="D55" s="244"/>
      <c r="E55" s="245"/>
      <c r="F55" s="81">
        <f>F49+F50+F51+F52+F53+F54</f>
        <v>830000</v>
      </c>
      <c r="G55" s="82">
        <f t="shared" si="4"/>
        <v>1419.1905871878796</v>
      </c>
      <c r="H55" s="87"/>
      <c r="I55" s="1"/>
      <c r="J55" s="66"/>
    </row>
    <row r="56" spans="1:10">
      <c r="A56" s="1"/>
      <c r="B56" s="1"/>
      <c r="C56" s="1"/>
      <c r="D56" s="1"/>
      <c r="E56" s="1"/>
      <c r="F56" s="1"/>
      <c r="G56" s="1"/>
      <c r="H56" s="1"/>
      <c r="I56" s="1"/>
    </row>
    <row r="57" spans="1:10">
      <c r="A57" s="1"/>
      <c r="B57" s="1"/>
      <c r="C57" s="1"/>
      <c r="D57" s="1"/>
      <c r="E57" s="1"/>
      <c r="F57" s="1"/>
      <c r="G57" s="1"/>
      <c r="H57" s="1"/>
      <c r="I57" s="1"/>
    </row>
    <row r="58" spans="1:10">
      <c r="A58" s="1"/>
      <c r="B58" s="1"/>
      <c r="C58" s="1"/>
      <c r="D58" s="1"/>
      <c r="E58" s="1"/>
      <c r="F58" s="1"/>
      <c r="G58" s="1"/>
      <c r="H58" s="1"/>
      <c r="I58" s="1"/>
    </row>
    <row r="59" spans="1:10">
      <c r="A59" s="1"/>
      <c r="B59" s="1"/>
      <c r="C59" s="1"/>
      <c r="D59" s="1"/>
      <c r="E59" s="1"/>
      <c r="F59" s="1"/>
      <c r="G59" s="1"/>
      <c r="H59" s="1"/>
      <c r="I59" s="1"/>
    </row>
    <row r="60" spans="1:10">
      <c r="A60" s="1"/>
      <c r="B60" s="1"/>
      <c r="C60" s="1"/>
      <c r="D60" s="1"/>
      <c r="E60" s="1"/>
      <c r="F60" s="1"/>
      <c r="G60" s="1"/>
      <c r="H60" s="1"/>
      <c r="I60" s="1"/>
    </row>
    <row r="61" spans="1:10">
      <c r="A61" s="1"/>
      <c r="B61" s="1"/>
      <c r="C61" s="1"/>
      <c r="D61" s="1"/>
      <c r="E61" s="1"/>
      <c r="F61" s="1"/>
      <c r="G61" s="89"/>
      <c r="H61" s="1"/>
      <c r="I61" s="1"/>
    </row>
    <row r="62" spans="1:10">
      <c r="A62" s="1"/>
      <c r="B62" s="1"/>
      <c r="C62" s="1"/>
      <c r="D62" s="1"/>
      <c r="E62" s="1"/>
      <c r="F62" s="1"/>
      <c r="G62" s="1"/>
      <c r="H62" s="1"/>
      <c r="I62" s="1"/>
    </row>
    <row r="63" spans="1:10">
      <c r="A63" s="1"/>
      <c r="B63" s="1"/>
      <c r="C63" s="1"/>
      <c r="D63" s="1"/>
      <c r="E63" s="1"/>
      <c r="F63" s="1"/>
      <c r="G63" s="1"/>
      <c r="H63" s="1"/>
      <c r="I63" s="1"/>
    </row>
    <row r="64" spans="1:10">
      <c r="A64" s="1"/>
      <c r="B64" s="1"/>
      <c r="C64" s="1"/>
      <c r="D64" s="1"/>
      <c r="E64" s="1"/>
      <c r="F64" s="1"/>
      <c r="G64" s="1"/>
      <c r="H64" s="1"/>
      <c r="I64" s="1"/>
    </row>
    <row r="65" spans="1:9">
      <c r="A65" s="1"/>
      <c r="B65" s="1"/>
      <c r="C65" s="1"/>
      <c r="D65" s="1"/>
      <c r="E65" s="1"/>
      <c r="F65" s="1"/>
      <c r="G65" s="1"/>
      <c r="H65" s="1"/>
      <c r="I65" s="1"/>
    </row>
    <row r="66" spans="1:9">
      <c r="A66" s="1"/>
      <c r="B66" s="1"/>
      <c r="C66" s="1"/>
      <c r="D66" s="1"/>
      <c r="E66" s="1"/>
      <c r="F66" s="1"/>
      <c r="G66" s="1"/>
      <c r="H66" s="1"/>
      <c r="I66" s="1"/>
    </row>
    <row r="67" spans="1:9">
      <c r="A67" s="1"/>
      <c r="B67" s="1"/>
      <c r="C67" s="1"/>
      <c r="D67" s="1"/>
      <c r="E67" s="1"/>
      <c r="F67" s="1"/>
      <c r="G67" s="1"/>
      <c r="H67" s="1"/>
      <c r="I67" s="1"/>
    </row>
    <row r="68" spans="1:9">
      <c r="A68" s="1"/>
      <c r="B68" s="1"/>
      <c r="C68" s="1"/>
      <c r="D68" s="1"/>
      <c r="E68" s="1"/>
      <c r="F68" s="1"/>
      <c r="G68" s="1"/>
      <c r="H68" s="1"/>
      <c r="I68" s="1"/>
    </row>
    <row r="69" spans="1:9">
      <c r="A69" s="1"/>
      <c r="B69" s="1"/>
      <c r="C69" s="1"/>
      <c r="D69" s="1"/>
      <c r="E69" s="1"/>
      <c r="F69" s="1"/>
      <c r="G69" s="1"/>
      <c r="H69" s="1"/>
      <c r="I69" s="1"/>
    </row>
    <row r="70" spans="1:9">
      <c r="A70" s="1"/>
      <c r="B70" s="1"/>
      <c r="C70" s="1"/>
      <c r="D70" s="1"/>
      <c r="E70" s="1"/>
      <c r="F70" s="1"/>
      <c r="G70" s="1"/>
      <c r="H70" s="1"/>
      <c r="I70" s="1"/>
    </row>
    <row r="71" spans="1:9">
      <c r="A71" s="1"/>
      <c r="B71" s="1"/>
      <c r="C71" s="1"/>
      <c r="D71" s="1"/>
      <c r="E71" s="1"/>
      <c r="F71" s="1"/>
      <c r="G71" s="1"/>
      <c r="H71" s="1"/>
      <c r="I71" s="1"/>
    </row>
    <row r="72" spans="1:9">
      <c r="A72" s="1"/>
      <c r="B72" s="1"/>
      <c r="C72" s="1"/>
      <c r="D72" s="1"/>
      <c r="E72" s="1"/>
      <c r="F72" s="1"/>
      <c r="G72" s="1"/>
      <c r="H72" s="1"/>
      <c r="I72" s="1"/>
    </row>
    <row r="73" spans="1:9">
      <c r="A73" s="1"/>
      <c r="B73" s="1"/>
      <c r="C73" s="1"/>
      <c r="D73" s="1"/>
      <c r="E73" s="1"/>
      <c r="F73" s="1"/>
      <c r="G73" s="1"/>
      <c r="H73" s="1"/>
      <c r="I73" s="1"/>
    </row>
    <row r="74" spans="1:9">
      <c r="A74" s="1"/>
      <c r="B74" s="1"/>
      <c r="C74" s="1"/>
      <c r="D74" s="1"/>
      <c r="E74" s="1"/>
      <c r="F74" s="1"/>
      <c r="G74" s="1"/>
      <c r="H74" s="1"/>
      <c r="I74" s="1"/>
    </row>
    <row r="75" spans="1:9">
      <c r="A75" s="1"/>
      <c r="B75" s="1"/>
      <c r="C75" s="1"/>
      <c r="D75" s="1"/>
      <c r="E75" s="1"/>
      <c r="F75" s="1"/>
      <c r="G75" s="1"/>
      <c r="H75" s="1"/>
      <c r="I75" s="1"/>
    </row>
    <row r="76" spans="1:9">
      <c r="A76" s="1"/>
      <c r="B76" s="1"/>
      <c r="C76" s="1"/>
      <c r="D76" s="1"/>
      <c r="E76" s="1"/>
      <c r="F76" s="1"/>
      <c r="G76" s="1"/>
      <c r="H76" s="1"/>
      <c r="I76" s="1"/>
    </row>
    <row r="77" spans="1:9">
      <c r="A77" s="1"/>
      <c r="B77" s="1"/>
      <c r="C77" s="1"/>
      <c r="D77" s="1"/>
      <c r="E77" s="1"/>
      <c r="F77" s="1"/>
      <c r="G77" s="1"/>
      <c r="H77" s="1"/>
      <c r="I77" s="1"/>
    </row>
    <row r="78" spans="1:9">
      <c r="A78" s="1"/>
      <c r="B78" s="1"/>
      <c r="C78" s="1"/>
      <c r="D78" s="1"/>
      <c r="E78" s="1"/>
      <c r="F78" s="1"/>
      <c r="G78" s="1"/>
      <c r="H78" s="1"/>
      <c r="I78" s="1"/>
    </row>
    <row r="79" spans="1:9">
      <c r="A79" s="1"/>
      <c r="B79" s="1"/>
      <c r="C79" s="1"/>
      <c r="D79" s="1"/>
      <c r="E79" s="1"/>
      <c r="F79" s="1"/>
      <c r="G79" s="1"/>
      <c r="H79" s="1"/>
      <c r="I79" s="1"/>
    </row>
    <row r="80" spans="1:9">
      <c r="A80" s="1"/>
      <c r="B80" s="1"/>
      <c r="C80" s="1"/>
      <c r="D80" s="1"/>
      <c r="E80" s="1"/>
      <c r="F80" s="1"/>
      <c r="G80" s="1"/>
      <c r="H80" s="1"/>
      <c r="I80" s="1"/>
    </row>
    <row r="81" spans="1:9">
      <c r="A81" s="1"/>
      <c r="B81" s="1"/>
      <c r="C81" s="1"/>
      <c r="D81" s="1"/>
      <c r="E81" s="1"/>
      <c r="F81" s="1"/>
      <c r="G81" s="1"/>
      <c r="H81" s="1"/>
      <c r="I81" s="1"/>
    </row>
    <row r="82" spans="1:9">
      <c r="A82" s="1"/>
      <c r="B82" s="1"/>
      <c r="C82" s="1"/>
      <c r="D82" s="1"/>
      <c r="E82" s="1"/>
      <c r="F82" s="1"/>
      <c r="G82" s="1"/>
      <c r="H82" s="1"/>
      <c r="I82" s="1"/>
    </row>
    <row r="83" spans="1:9">
      <c r="A83" s="1"/>
      <c r="B83" s="1"/>
      <c r="C83" s="1"/>
      <c r="D83" s="1"/>
      <c r="E83" s="1"/>
      <c r="F83" s="1"/>
      <c r="G83" s="1"/>
      <c r="H83" s="1"/>
      <c r="I83" s="1"/>
    </row>
    <row r="84" spans="1:9">
      <c r="A84" s="1"/>
      <c r="B84" s="1"/>
      <c r="C84" s="1"/>
      <c r="D84" s="1"/>
      <c r="E84" s="1"/>
      <c r="F84" s="1"/>
      <c r="G84" s="1"/>
      <c r="H84" s="1"/>
      <c r="I84" s="1"/>
    </row>
    <row r="85" spans="1:9">
      <c r="A85" s="1"/>
      <c r="B85" s="1"/>
      <c r="C85" s="1"/>
      <c r="D85" s="1"/>
      <c r="E85" s="1"/>
      <c r="F85" s="1"/>
      <c r="G85" s="1"/>
      <c r="H85" s="1"/>
      <c r="I85" s="1"/>
    </row>
    <row r="86" spans="1:9">
      <c r="A86" s="1"/>
      <c r="B86" s="1"/>
      <c r="C86" s="1"/>
      <c r="D86" s="1"/>
      <c r="E86" s="1"/>
      <c r="F86" s="1"/>
      <c r="G86" s="1"/>
      <c r="H86" s="1"/>
      <c r="I86" s="1"/>
    </row>
    <row r="87" spans="1:9">
      <c r="A87" s="1"/>
      <c r="B87" s="1"/>
      <c r="C87" s="1"/>
      <c r="D87" s="1"/>
      <c r="E87" s="1"/>
      <c r="F87" s="1"/>
      <c r="G87" s="1"/>
      <c r="H87" s="1"/>
      <c r="I87" s="1"/>
    </row>
    <row r="88" spans="1:9">
      <c r="A88" s="1"/>
      <c r="B88" s="1"/>
      <c r="C88" s="1"/>
      <c r="D88" s="1"/>
      <c r="E88" s="1"/>
      <c r="F88" s="1"/>
      <c r="G88" s="1"/>
      <c r="H88" s="1"/>
      <c r="I88" s="1"/>
    </row>
    <row r="89" spans="1:9">
      <c r="A89" s="1"/>
      <c r="B89" s="1"/>
      <c r="C89" s="1"/>
      <c r="D89" s="1"/>
      <c r="E89" s="1"/>
      <c r="F89" s="1"/>
      <c r="G89" s="1"/>
      <c r="H89" s="1"/>
      <c r="I89" s="1"/>
    </row>
    <row r="90" spans="1:9">
      <c r="A90" s="1"/>
      <c r="B90" s="1"/>
      <c r="C90" s="1"/>
      <c r="D90" s="1"/>
      <c r="E90" s="1"/>
      <c r="F90" s="1"/>
      <c r="G90" s="1"/>
      <c r="H90" s="1"/>
      <c r="I90" s="1"/>
    </row>
    <row r="91" spans="1:9">
      <c r="A91" s="1"/>
      <c r="B91" s="1"/>
      <c r="C91" s="1"/>
      <c r="D91" s="1"/>
      <c r="E91" s="1"/>
      <c r="F91" s="1"/>
      <c r="G91" s="1"/>
      <c r="H91" s="1"/>
      <c r="I91" s="1"/>
    </row>
    <row r="92" spans="1:9">
      <c r="A92" s="1"/>
      <c r="B92" s="1"/>
      <c r="C92" s="1"/>
      <c r="D92" s="1"/>
      <c r="E92" s="1"/>
      <c r="F92" s="1"/>
      <c r="G92" s="1"/>
      <c r="H92" s="1"/>
      <c r="I92" s="1"/>
    </row>
    <row r="93" spans="1:9">
      <c r="A93" s="1"/>
      <c r="B93" s="1"/>
      <c r="C93" s="1"/>
      <c r="D93" s="1"/>
      <c r="E93" s="1"/>
      <c r="F93" s="1"/>
      <c r="G93" s="1"/>
      <c r="H93" s="1"/>
      <c r="I93" s="1"/>
    </row>
    <row r="94" spans="1:9">
      <c r="A94" s="1"/>
      <c r="B94" s="1"/>
      <c r="C94" s="1"/>
      <c r="D94" s="1"/>
      <c r="E94" s="1"/>
      <c r="F94" s="1"/>
      <c r="G94" s="1"/>
      <c r="H94" s="1"/>
      <c r="I94" s="1"/>
    </row>
    <row r="95" spans="1:9">
      <c r="A95" s="1"/>
      <c r="B95" s="1"/>
      <c r="C95" s="1"/>
      <c r="D95" s="1"/>
      <c r="E95" s="1"/>
      <c r="F95" s="1"/>
      <c r="G95" s="1"/>
      <c r="H95" s="1"/>
      <c r="I95" s="1"/>
    </row>
    <row r="96" spans="1:9">
      <c r="A96" s="1"/>
      <c r="B96" s="1"/>
      <c r="C96" s="1"/>
      <c r="D96" s="1"/>
      <c r="E96" s="1"/>
      <c r="F96" s="1"/>
      <c r="G96" s="1"/>
      <c r="H96" s="1"/>
      <c r="I96" s="1"/>
    </row>
    <row r="97" spans="1:9">
      <c r="A97" s="1"/>
      <c r="B97" s="1"/>
      <c r="C97" s="1"/>
      <c r="D97" s="1"/>
      <c r="E97" s="1"/>
      <c r="F97" s="1"/>
      <c r="G97" s="1"/>
      <c r="H97" s="1"/>
      <c r="I97" s="1"/>
    </row>
    <row r="98" spans="1:9">
      <c r="A98" s="1"/>
      <c r="B98" s="1"/>
      <c r="C98" s="1"/>
      <c r="D98" s="1"/>
      <c r="E98" s="1"/>
      <c r="F98" s="1"/>
      <c r="G98" s="1"/>
      <c r="H98" s="1"/>
      <c r="I98" s="1"/>
    </row>
    <row r="99" spans="1:9">
      <c r="A99" s="1"/>
      <c r="B99" s="1"/>
      <c r="C99" s="1"/>
      <c r="D99" s="1"/>
      <c r="E99" s="1"/>
      <c r="F99" s="1"/>
      <c r="G99" s="1"/>
      <c r="H99" s="1"/>
      <c r="I99" s="1"/>
    </row>
    <row r="100" spans="1:9">
      <c r="A100" s="1"/>
      <c r="B100" s="1"/>
      <c r="C100" s="1"/>
      <c r="D100" s="1"/>
      <c r="E100" s="1"/>
      <c r="F100" s="1"/>
      <c r="G100" s="1"/>
      <c r="H100" s="1"/>
      <c r="I100" s="1"/>
    </row>
    <row r="101" spans="1:9">
      <c r="A101" s="1"/>
      <c r="B101" s="1"/>
      <c r="C101" s="1"/>
      <c r="D101" s="1"/>
      <c r="E101" s="1"/>
      <c r="F101" s="1"/>
      <c r="G101" s="1"/>
      <c r="H101" s="1"/>
      <c r="I101" s="1"/>
    </row>
    <row r="102" spans="1:9">
      <c r="A102" s="1"/>
      <c r="B102" s="1"/>
      <c r="C102" s="1"/>
      <c r="D102" s="1"/>
      <c r="E102" s="1"/>
      <c r="F102" s="1"/>
      <c r="G102" s="1"/>
      <c r="H102" s="1"/>
      <c r="I102" s="1"/>
    </row>
    <row r="103" spans="1:9">
      <c r="A103" s="1"/>
      <c r="B103" s="1"/>
      <c r="C103" s="1"/>
      <c r="D103" s="1"/>
      <c r="E103" s="1"/>
      <c r="F103" s="1"/>
      <c r="G103" s="1"/>
      <c r="H103" s="1"/>
      <c r="I103" s="1"/>
    </row>
    <row r="104" spans="1:9">
      <c r="A104" s="1"/>
      <c r="B104" s="1"/>
      <c r="C104" s="1"/>
      <c r="D104" s="1"/>
      <c r="E104" s="1"/>
      <c r="F104" s="1"/>
      <c r="G104" s="1"/>
      <c r="H104" s="1"/>
      <c r="I104" s="1"/>
    </row>
    <row r="105" spans="1:9">
      <c r="A105" s="1"/>
      <c r="B105" s="1"/>
      <c r="C105" s="1"/>
      <c r="D105" s="1"/>
      <c r="E105" s="1"/>
      <c r="F105" s="1"/>
      <c r="G105" s="1"/>
      <c r="H105" s="1"/>
      <c r="I105" s="1"/>
    </row>
    <row r="106" spans="1:9">
      <c r="A106" s="1"/>
      <c r="B106" s="1"/>
      <c r="C106" s="1"/>
      <c r="D106" s="1"/>
      <c r="E106" s="1"/>
      <c r="F106" s="1"/>
      <c r="G106" s="1"/>
      <c r="H106" s="1"/>
      <c r="I106" s="1"/>
    </row>
    <row r="107" spans="1:9">
      <c r="A107" s="1"/>
      <c r="B107" s="1"/>
      <c r="C107" s="1"/>
      <c r="D107" s="1"/>
      <c r="E107" s="1"/>
      <c r="F107" s="1"/>
      <c r="G107" s="1"/>
      <c r="H107" s="1"/>
      <c r="I107" s="1"/>
    </row>
    <row r="108" spans="1:9">
      <c r="A108" s="1"/>
      <c r="B108" s="1"/>
      <c r="C108" s="1"/>
      <c r="D108" s="1"/>
      <c r="E108" s="1"/>
      <c r="F108" s="1"/>
      <c r="G108" s="1"/>
      <c r="H108" s="1"/>
      <c r="I108" s="1"/>
    </row>
    <row r="109" spans="1:9">
      <c r="A109" s="1"/>
      <c r="B109" s="1"/>
      <c r="C109" s="1"/>
      <c r="D109" s="1"/>
      <c r="E109" s="1"/>
      <c r="F109" s="1"/>
      <c r="G109" s="1"/>
      <c r="H109" s="1"/>
      <c r="I109" s="1"/>
    </row>
    <row r="110" spans="1:9">
      <c r="A110" s="1"/>
      <c r="B110" s="1"/>
      <c r="C110" s="1"/>
      <c r="D110" s="1"/>
      <c r="E110" s="1"/>
      <c r="F110" s="1"/>
      <c r="G110" s="1"/>
      <c r="H110" s="1"/>
      <c r="I110" s="1"/>
    </row>
    <row r="111" spans="1:9">
      <c r="A111" s="1"/>
      <c r="B111" s="1"/>
      <c r="C111" s="1"/>
      <c r="D111" s="1"/>
      <c r="E111" s="1"/>
      <c r="F111" s="1"/>
      <c r="G111" s="1"/>
      <c r="H111" s="1"/>
      <c r="I111" s="1"/>
    </row>
    <row r="112" spans="1:9">
      <c r="A112" s="1"/>
      <c r="B112" s="1"/>
      <c r="C112" s="1"/>
      <c r="D112" s="1"/>
      <c r="E112" s="1"/>
      <c r="F112" s="1"/>
      <c r="G112" s="1"/>
      <c r="H112" s="1"/>
      <c r="I112" s="1"/>
    </row>
    <row r="113" spans="1:9">
      <c r="A113" s="1"/>
      <c r="B113" s="1"/>
      <c r="C113" s="1"/>
      <c r="D113" s="1"/>
      <c r="E113" s="1"/>
      <c r="F113" s="1"/>
      <c r="G113" s="1"/>
      <c r="H113" s="1"/>
      <c r="I113" s="1"/>
    </row>
    <row r="114" spans="1:9">
      <c r="A114" s="1"/>
      <c r="B114" s="1"/>
      <c r="C114" s="1"/>
      <c r="D114" s="1"/>
      <c r="E114" s="1"/>
      <c r="F114" s="1"/>
      <c r="G114" s="1"/>
      <c r="H114" s="1"/>
      <c r="I114" s="1"/>
    </row>
    <row r="115" spans="1:9">
      <c r="A115" s="1"/>
      <c r="B115" s="1"/>
      <c r="C115" s="1"/>
      <c r="D115" s="1"/>
      <c r="E115" s="1"/>
      <c r="F115" s="1"/>
      <c r="G115" s="1"/>
      <c r="H115" s="1"/>
      <c r="I115" s="1"/>
    </row>
    <row r="116" spans="1:9">
      <c r="A116" s="1"/>
      <c r="B116" s="1"/>
      <c r="C116" s="1"/>
      <c r="D116" s="1"/>
      <c r="E116" s="1"/>
      <c r="F116" s="1"/>
      <c r="G116" s="1"/>
      <c r="H116" s="1"/>
      <c r="I116" s="1"/>
    </row>
    <row r="117" spans="1:9">
      <c r="A117" s="1"/>
      <c r="B117" s="1"/>
      <c r="C117" s="1"/>
      <c r="D117" s="1"/>
      <c r="E117" s="1"/>
      <c r="F117" s="1"/>
      <c r="G117" s="1"/>
      <c r="H117" s="1"/>
      <c r="I117" s="1"/>
    </row>
    <row r="118" spans="1:9">
      <c r="A118" s="1"/>
      <c r="B118" s="1"/>
      <c r="C118" s="1"/>
      <c r="D118" s="1"/>
      <c r="E118" s="1"/>
      <c r="F118" s="1"/>
      <c r="G118" s="1"/>
      <c r="H118" s="1"/>
      <c r="I118" s="1"/>
    </row>
    <row r="119" spans="1:9">
      <c r="A119" s="1"/>
      <c r="B119" s="1"/>
      <c r="C119" s="1"/>
      <c r="D119" s="1"/>
      <c r="E119" s="1"/>
      <c r="F119" s="1"/>
      <c r="G119" s="1"/>
      <c r="H119" s="1"/>
      <c r="I119" s="1"/>
    </row>
    <row r="120" spans="1:9">
      <c r="A120" s="1"/>
      <c r="B120" s="1"/>
      <c r="C120" s="1"/>
      <c r="D120" s="1"/>
      <c r="E120" s="1"/>
      <c r="F120" s="1"/>
      <c r="G120" s="1"/>
      <c r="H120" s="1"/>
      <c r="I120" s="1"/>
    </row>
    <row r="121" spans="1:9">
      <c r="A121" s="1"/>
      <c r="B121" s="1"/>
      <c r="C121" s="1"/>
      <c r="D121" s="1"/>
      <c r="E121" s="1"/>
      <c r="F121" s="1"/>
      <c r="G121" s="1"/>
      <c r="H121" s="1"/>
      <c r="I121" s="1"/>
    </row>
    <row r="122" spans="1:9">
      <c r="A122" s="1"/>
      <c r="B122" s="1"/>
      <c r="C122" s="1"/>
      <c r="D122" s="1"/>
      <c r="E122" s="1"/>
      <c r="F122" s="1"/>
      <c r="G122" s="1"/>
      <c r="H122" s="1"/>
      <c r="I122" s="1"/>
    </row>
    <row r="123" spans="1:9">
      <c r="A123" s="1"/>
      <c r="B123" s="1"/>
      <c r="C123" s="1"/>
      <c r="D123" s="1"/>
      <c r="E123" s="1"/>
      <c r="F123" s="1"/>
      <c r="G123" s="1"/>
      <c r="H123" s="1"/>
      <c r="I123" s="1"/>
    </row>
    <row r="124" spans="1:9">
      <c r="A124" s="1"/>
      <c r="B124" s="1"/>
      <c r="C124" s="1"/>
      <c r="D124" s="1"/>
      <c r="E124" s="1"/>
      <c r="F124" s="1"/>
      <c r="G124" s="1"/>
      <c r="H124" s="1"/>
      <c r="I124" s="1"/>
    </row>
    <row r="125" spans="1:9">
      <c r="A125" s="1"/>
      <c r="B125" s="1"/>
      <c r="C125" s="1"/>
      <c r="D125" s="1"/>
      <c r="E125" s="1"/>
      <c r="F125" s="1"/>
      <c r="G125" s="1"/>
      <c r="H125" s="1"/>
      <c r="I125" s="1"/>
    </row>
    <row r="126" spans="1:9">
      <c r="A126" s="1"/>
      <c r="B126" s="1"/>
      <c r="C126" s="1"/>
      <c r="D126" s="1"/>
      <c r="E126" s="1"/>
      <c r="F126" s="1"/>
      <c r="G126" s="1"/>
      <c r="H126" s="1"/>
      <c r="I126" s="1"/>
    </row>
    <row r="127" spans="1:9">
      <c r="A127" s="1"/>
      <c r="B127" s="1"/>
      <c r="C127" s="1"/>
      <c r="D127" s="1"/>
      <c r="E127" s="1"/>
      <c r="F127" s="1"/>
      <c r="G127" s="1"/>
      <c r="H127" s="1"/>
      <c r="I127" s="1"/>
    </row>
    <row r="128" spans="1:9">
      <c r="A128" s="1"/>
      <c r="B128" s="1"/>
      <c r="C128" s="1"/>
      <c r="D128" s="1"/>
      <c r="E128" s="1"/>
      <c r="F128" s="1"/>
      <c r="G128" s="1"/>
      <c r="H128" s="1"/>
      <c r="I128" s="1"/>
    </row>
    <row r="129" spans="1:9">
      <c r="A129" s="1"/>
      <c r="B129" s="1"/>
      <c r="C129" s="1"/>
      <c r="D129" s="1"/>
      <c r="E129" s="1"/>
      <c r="F129" s="1"/>
      <c r="G129" s="1"/>
      <c r="H129" s="1"/>
      <c r="I129" s="1"/>
    </row>
    <row r="130" spans="1:9">
      <c r="A130" s="1"/>
      <c r="B130" s="1"/>
      <c r="C130" s="1"/>
      <c r="D130" s="1"/>
      <c r="E130" s="1"/>
      <c r="F130" s="1"/>
      <c r="G130" s="1"/>
      <c r="H130" s="1"/>
      <c r="I130" s="1"/>
    </row>
    <row r="131" spans="1:9">
      <c r="A131" s="1"/>
      <c r="B131" s="1"/>
      <c r="C131" s="1"/>
      <c r="D131" s="1"/>
      <c r="E131" s="1"/>
      <c r="F131" s="1"/>
      <c r="G131" s="1"/>
      <c r="H131" s="1"/>
      <c r="I131" s="1"/>
    </row>
    <row r="132" spans="1:9">
      <c r="A132" s="1"/>
      <c r="B132" s="1"/>
      <c r="C132" s="1"/>
      <c r="D132" s="1"/>
      <c r="E132" s="1"/>
      <c r="F132" s="1"/>
      <c r="G132" s="1"/>
      <c r="H132" s="1"/>
      <c r="I132" s="1"/>
    </row>
    <row r="133" spans="1:9">
      <c r="A133" s="1"/>
      <c r="B133" s="1"/>
      <c r="C133" s="1"/>
      <c r="D133" s="1"/>
      <c r="E133" s="1"/>
      <c r="F133" s="1"/>
      <c r="G133" s="1"/>
      <c r="H133" s="1"/>
      <c r="I133" s="1"/>
    </row>
    <row r="134" spans="1:9">
      <c r="A134" s="1"/>
      <c r="B134" s="1"/>
      <c r="C134" s="1"/>
      <c r="D134" s="1"/>
      <c r="E134" s="1"/>
      <c r="F134" s="1"/>
      <c r="G134" s="1"/>
      <c r="H134" s="1"/>
      <c r="I134" s="1"/>
    </row>
    <row r="135" spans="1:9">
      <c r="A135" s="1"/>
      <c r="B135" s="1"/>
      <c r="C135" s="1"/>
      <c r="D135" s="1"/>
      <c r="E135" s="1"/>
      <c r="F135" s="1"/>
      <c r="G135" s="1"/>
      <c r="H135" s="1"/>
      <c r="I135" s="1"/>
    </row>
    <row r="136" spans="1:9">
      <c r="A136" s="1"/>
      <c r="B136" s="1"/>
      <c r="C136" s="1"/>
      <c r="D136" s="1"/>
      <c r="E136" s="1"/>
      <c r="F136" s="1"/>
      <c r="G136" s="1"/>
      <c r="H136" s="1"/>
      <c r="I136" s="1"/>
    </row>
  </sheetData>
  <mergeCells count="8">
    <mergeCell ref="A44:E44"/>
    <mergeCell ref="A55:E55"/>
    <mergeCell ref="H10:I10"/>
    <mergeCell ref="H11:I16"/>
    <mergeCell ref="A15:D15"/>
    <mergeCell ref="A16:D16"/>
    <mergeCell ref="A26:E26"/>
    <mergeCell ref="A43:E43"/>
  </mergeCells>
  <conditionalFormatting sqref="A36:H36 A48:H48">
    <cfRule type="containsText" dxfId="3" priority="1" operator="containsText" text="faux">
      <formula>NOT(ISERROR(SEARCH(("faux"),(A36))))</formula>
    </cfRule>
  </conditionalFormatting>
  <conditionalFormatting sqref="A36:H36 A48:H48">
    <cfRule type="containsText" dxfId="2" priority="2" operator="containsText" text="vrai">
      <formula>NOT(ISERROR(SEARCH(("vrai"),(A36))))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35"/>
  <sheetViews>
    <sheetView topLeftCell="A31" workbookViewId="0">
      <selection activeCell="A27" sqref="A27:E33"/>
    </sheetView>
  </sheetViews>
  <sheetFormatPr defaultColWidth="10.85546875" defaultRowHeight="15"/>
  <cols>
    <col min="1" max="1" width="33" style="2" customWidth="1"/>
    <col min="2" max="2" width="22.7109375" style="2" customWidth="1"/>
    <col min="3" max="3" width="18.140625" style="2" customWidth="1"/>
    <col min="4" max="4" width="10.85546875" style="2"/>
    <col min="5" max="5" width="32.85546875" style="6" bestFit="1" customWidth="1"/>
    <col min="6" max="6" width="19.5703125" style="6" customWidth="1"/>
    <col min="7" max="7" width="28.85546875" style="2" customWidth="1"/>
    <col min="8" max="8" width="12.85546875" style="2" bestFit="1" customWidth="1"/>
    <col min="9" max="9" width="17.42578125" style="2" bestFit="1" customWidth="1"/>
    <col min="10" max="10" width="19" style="2" bestFit="1" customWidth="1"/>
    <col min="11" max="16384" width="10.85546875" style="2"/>
  </cols>
  <sheetData>
    <row r="1" spans="1:10" ht="33.950000000000003" customHeight="1">
      <c r="A1" s="4" t="s">
        <v>51</v>
      </c>
      <c r="B1" s="5" t="s">
        <v>52</v>
      </c>
      <c r="C1" s="255" t="s">
        <v>53</v>
      </c>
    </row>
    <row r="2" spans="1:10" ht="14.25" customHeight="1">
      <c r="A2" s="7" t="s">
        <v>54</v>
      </c>
      <c r="B2" s="8">
        <v>0.45</v>
      </c>
      <c r="C2" s="256">
        <f>B2*30</f>
        <v>13.5</v>
      </c>
    </row>
    <row r="3" spans="1:10" ht="14.25" customHeight="1">
      <c r="A3" s="7" t="s">
        <v>55</v>
      </c>
      <c r="B3" s="8">
        <v>0.12</v>
      </c>
      <c r="C3" s="256">
        <f>B3*30</f>
        <v>3.5999999999999996</v>
      </c>
    </row>
    <row r="4" spans="1:10" ht="14.25" customHeight="1">
      <c r="A4" s="7" t="s">
        <v>56</v>
      </c>
      <c r="B4" s="8">
        <v>0.03</v>
      </c>
      <c r="C4" s="256">
        <f>B4*30</f>
        <v>0.89999999999999991</v>
      </c>
    </row>
    <row r="5" spans="1:10" ht="14.25" customHeight="1">
      <c r="A5" s="9" t="s">
        <v>57</v>
      </c>
      <c r="B5" s="10">
        <v>5.0000000000000001E-3</v>
      </c>
      <c r="C5" s="257">
        <f>B5*30</f>
        <v>0.15</v>
      </c>
    </row>
    <row r="6" spans="1:10">
      <c r="C6" s="258"/>
    </row>
    <row r="8" spans="1:10" ht="14.25" customHeight="1">
      <c r="A8" s="11" t="s">
        <v>58</v>
      </c>
      <c r="B8" s="96">
        <v>1</v>
      </c>
      <c r="C8" s="12" t="s">
        <v>59</v>
      </c>
      <c r="D8" s="97">
        <v>1</v>
      </c>
      <c r="F8" s="13" t="s">
        <v>60</v>
      </c>
      <c r="G8" s="14">
        <v>1</v>
      </c>
      <c r="I8" s="15" t="s">
        <v>61</v>
      </c>
      <c r="J8" s="16">
        <f>'[1]RECAP &amp; RATIOS'!I3</f>
        <v>584.84040656205423</v>
      </c>
    </row>
    <row r="10" spans="1:10" ht="57" customHeight="1">
      <c r="A10" s="17" t="s">
        <v>62</v>
      </c>
      <c r="B10" s="18" t="s">
        <v>63</v>
      </c>
      <c r="C10" s="18" t="s">
        <v>64</v>
      </c>
      <c r="D10" s="18" t="s">
        <v>65</v>
      </c>
      <c r="E10" s="18" t="s">
        <v>66</v>
      </c>
      <c r="F10" s="19" t="s">
        <v>67</v>
      </c>
      <c r="G10" s="1"/>
      <c r="H10" s="246" t="s">
        <v>123</v>
      </c>
      <c r="I10" s="247"/>
    </row>
    <row r="11" spans="1:10" ht="14.25" customHeight="1">
      <c r="A11" s="20" t="s">
        <v>68</v>
      </c>
      <c r="B11" s="21">
        <v>13.5</v>
      </c>
      <c r="C11" s="21" t="s">
        <v>69</v>
      </c>
      <c r="D11" s="259">
        <v>600</v>
      </c>
      <c r="E11" s="22">
        <f>D11*B11</f>
        <v>8100</v>
      </c>
      <c r="F11" s="22"/>
      <c r="G11" s="1"/>
      <c r="H11" s="248"/>
      <c r="I11" s="171"/>
      <c r="J11" s="2" t="b">
        <f>B11*D11=E11</f>
        <v>1</v>
      </c>
    </row>
    <row r="12" spans="1:10" ht="14.25" customHeight="1">
      <c r="A12" s="20" t="s">
        <v>55</v>
      </c>
      <c r="B12" s="21">
        <v>3.6</v>
      </c>
      <c r="C12" s="21" t="s">
        <v>69</v>
      </c>
      <c r="D12" s="259">
        <v>750</v>
      </c>
      <c r="E12" s="22">
        <f>D12*B12</f>
        <v>2700</v>
      </c>
      <c r="F12" s="22"/>
      <c r="G12" s="1"/>
      <c r="H12" s="171"/>
      <c r="I12" s="171"/>
      <c r="J12" s="2" t="b">
        <f>B12*D12=E12</f>
        <v>1</v>
      </c>
    </row>
    <row r="13" spans="1:10" ht="14.25" customHeight="1">
      <c r="A13" s="20" t="s">
        <v>56</v>
      </c>
      <c r="B13" s="21">
        <v>0.9</v>
      </c>
      <c r="C13" s="21" t="s">
        <v>69</v>
      </c>
      <c r="D13" s="259">
        <v>1500</v>
      </c>
      <c r="E13" s="22">
        <f>D13*B13</f>
        <v>1350</v>
      </c>
      <c r="F13" s="22"/>
      <c r="G13" s="1"/>
      <c r="H13" s="171"/>
      <c r="I13" s="171"/>
      <c r="J13" s="2" t="b">
        <f>B13*D13=E13</f>
        <v>1</v>
      </c>
    </row>
    <row r="14" spans="1:10" ht="14.25" customHeight="1">
      <c r="A14" s="20" t="s">
        <v>57</v>
      </c>
      <c r="B14" s="21">
        <v>0.15</v>
      </c>
      <c r="C14" s="21" t="s">
        <v>69</v>
      </c>
      <c r="D14" s="259">
        <v>500</v>
      </c>
      <c r="E14" s="22">
        <f>D14*B14</f>
        <v>75</v>
      </c>
      <c r="F14" s="22"/>
      <c r="G14" s="1"/>
      <c r="H14" s="171"/>
      <c r="I14" s="171"/>
      <c r="J14" s="2" t="b">
        <f>B14*D14=E14</f>
        <v>1</v>
      </c>
    </row>
    <row r="15" spans="1:10" ht="14.25" customHeight="1">
      <c r="A15" s="249" t="s">
        <v>70</v>
      </c>
      <c r="B15" s="171"/>
      <c r="C15" s="171"/>
      <c r="D15" s="171"/>
      <c r="E15" s="23">
        <f>(E11+E12+E13+E14)*B8</f>
        <v>12225</v>
      </c>
      <c r="F15" s="24">
        <f>E15*G8</f>
        <v>12225</v>
      </c>
      <c r="G15" s="25"/>
      <c r="H15" s="171"/>
      <c r="I15" s="171"/>
    </row>
    <row r="16" spans="1:10" ht="14.25" customHeight="1" thickBot="1">
      <c r="A16" s="250" t="s">
        <v>71</v>
      </c>
      <c r="B16" s="247"/>
      <c r="C16" s="247"/>
      <c r="D16" s="247"/>
      <c r="E16" s="26">
        <f>E15*6</f>
        <v>73350</v>
      </c>
      <c r="F16" s="26">
        <f>E16*G8</f>
        <v>73350</v>
      </c>
      <c r="G16" s="25"/>
      <c r="H16" s="171"/>
      <c r="I16" s="171"/>
    </row>
    <row r="17" spans="1:10" ht="14.25" customHeight="1">
      <c r="A17" s="91"/>
      <c r="B17" s="92"/>
      <c r="C17" s="92"/>
      <c r="D17" s="92"/>
      <c r="E17" s="90"/>
      <c r="F17" s="90"/>
      <c r="G17" s="25"/>
      <c r="H17" s="27">
        <f>F16+F26</f>
        <v>75774</v>
      </c>
      <c r="I17" s="28">
        <f>H17/J8</f>
        <v>129.56355126936674</v>
      </c>
      <c r="J17" s="29"/>
    </row>
    <row r="18" spans="1:10">
      <c r="A18" s="92"/>
      <c r="B18" s="92"/>
      <c r="C18" s="92"/>
      <c r="D18" s="92"/>
      <c r="E18" s="92"/>
      <c r="F18" s="92"/>
      <c r="G18" s="25"/>
      <c r="H18" s="30" t="s">
        <v>72</v>
      </c>
      <c r="I18" s="31">
        <v>0</v>
      </c>
    </row>
    <row r="19" spans="1:10">
      <c r="A19" s="93"/>
      <c r="B19" s="93"/>
      <c r="C19" s="94"/>
      <c r="D19" s="93"/>
      <c r="E19" s="95"/>
      <c r="F19" s="93"/>
      <c r="G19" s="1"/>
      <c r="H19" s="30" t="s">
        <v>30</v>
      </c>
      <c r="I19" s="31">
        <v>0</v>
      </c>
    </row>
    <row r="20" spans="1:10">
      <c r="A20" s="1"/>
      <c r="B20" s="1"/>
      <c r="C20" s="1"/>
      <c r="D20" s="1"/>
      <c r="E20" s="1"/>
      <c r="F20" s="1"/>
      <c r="G20" s="1"/>
      <c r="H20" s="30" t="s">
        <v>73</v>
      </c>
      <c r="I20" s="31">
        <f>E31/J8</f>
        <v>10.359595424700096</v>
      </c>
    </row>
    <row r="21" spans="1:10" ht="14.25" customHeight="1">
      <c r="A21" s="33" t="s">
        <v>74</v>
      </c>
      <c r="B21" s="34"/>
      <c r="C21" s="1"/>
      <c r="D21" s="1"/>
      <c r="E21" s="1"/>
      <c r="F21" s="1"/>
      <c r="G21" s="1"/>
      <c r="H21" s="35" t="s">
        <v>75</v>
      </c>
      <c r="I21" s="36">
        <f>SUM(I17:I20)</f>
        <v>139.92314669406684</v>
      </c>
    </row>
    <row r="22" spans="1:10" ht="15.75" thickBot="1">
      <c r="A22" s="1"/>
      <c r="B22" s="1"/>
      <c r="C22" s="1"/>
      <c r="D22" s="1"/>
      <c r="E22" s="1"/>
      <c r="F22" s="1"/>
      <c r="G22" s="1"/>
      <c r="H22" s="37"/>
      <c r="I22" s="38"/>
      <c r="J22" s="39"/>
    </row>
    <row r="23" spans="1:10" ht="21" customHeight="1">
      <c r="A23" s="18" t="s">
        <v>76</v>
      </c>
      <c r="B23" s="18" t="s">
        <v>63</v>
      </c>
      <c r="C23" s="18" t="s">
        <v>77</v>
      </c>
      <c r="D23" s="18" t="s">
        <v>65</v>
      </c>
      <c r="E23" s="19" t="s">
        <v>78</v>
      </c>
      <c r="F23" s="19" t="s">
        <v>128</v>
      </c>
      <c r="G23" s="40"/>
      <c r="H23" s="101" t="s">
        <v>121</v>
      </c>
      <c r="I23" s="102">
        <f>I21/3</f>
        <v>46.641048898022284</v>
      </c>
      <c r="J23" s="39"/>
    </row>
    <row r="24" spans="1:10" ht="14.25" customHeight="1">
      <c r="A24" s="41" t="s">
        <v>80</v>
      </c>
      <c r="B24" s="8">
        <f>D8</f>
        <v>1</v>
      </c>
      <c r="C24" s="8" t="s">
        <v>81</v>
      </c>
      <c r="D24" s="8">
        <v>424</v>
      </c>
      <c r="E24" s="42">
        <f>D24*B24</f>
        <v>424</v>
      </c>
      <c r="F24" s="8">
        <f>E24</f>
        <v>424</v>
      </c>
      <c r="G24" s="1"/>
      <c r="H24" s="1"/>
      <c r="I24" s="1"/>
      <c r="J24" s="2" t="b">
        <f>B24*D24=E24</f>
        <v>1</v>
      </c>
    </row>
    <row r="25" spans="1:10" ht="14.25" customHeight="1">
      <c r="A25" s="43" t="s">
        <v>82</v>
      </c>
      <c r="B25" s="8">
        <f>B24</f>
        <v>1</v>
      </c>
      <c r="C25" s="8" t="s">
        <v>83</v>
      </c>
      <c r="D25" s="8">
        <v>2000</v>
      </c>
      <c r="E25" s="42">
        <f>D25*B25</f>
        <v>2000</v>
      </c>
      <c r="F25" s="8">
        <f>E25*G8</f>
        <v>2000</v>
      </c>
      <c r="G25" s="1"/>
      <c r="H25" s="1"/>
      <c r="I25" s="1"/>
      <c r="J25" s="2" t="b">
        <f>B25*D25=E25</f>
        <v>1</v>
      </c>
    </row>
    <row r="26" spans="1:10" ht="14.25" customHeight="1">
      <c r="A26" s="251" t="s">
        <v>84</v>
      </c>
      <c r="B26" s="171"/>
      <c r="C26" s="171"/>
      <c r="D26" s="171"/>
      <c r="E26" s="171"/>
      <c r="F26" s="44">
        <f>F24+F25</f>
        <v>2424</v>
      </c>
      <c r="G26" s="1"/>
      <c r="H26" s="1"/>
      <c r="I26" s="1"/>
    </row>
    <row r="27" spans="1:10">
      <c r="A27" s="283"/>
      <c r="B27" s="283"/>
      <c r="C27" s="283"/>
      <c r="D27" s="283"/>
      <c r="E27" s="283"/>
      <c r="F27" s="1"/>
      <c r="G27" s="1"/>
      <c r="H27" s="1"/>
      <c r="I27" s="1"/>
    </row>
    <row r="28" spans="1:10">
      <c r="A28" s="283"/>
      <c r="B28" s="283"/>
      <c r="C28" s="283"/>
      <c r="D28" s="283"/>
      <c r="E28" s="283"/>
      <c r="F28" s="1"/>
      <c r="G28" s="1"/>
      <c r="H28" s="1"/>
      <c r="I28" s="1"/>
    </row>
    <row r="29" spans="1:10">
      <c r="A29" s="284" t="s">
        <v>119</v>
      </c>
      <c r="B29" s="283"/>
      <c r="C29" s="283"/>
      <c r="D29" s="283"/>
      <c r="E29" s="283"/>
      <c r="F29" s="1"/>
      <c r="G29" s="32"/>
      <c r="H29" s="1"/>
      <c r="I29" s="1"/>
    </row>
    <row r="30" spans="1:10">
      <c r="A30" s="285" t="s">
        <v>86</v>
      </c>
      <c r="B30" s="286" t="s">
        <v>31</v>
      </c>
      <c r="C30" s="286" t="s">
        <v>64</v>
      </c>
      <c r="D30" s="285" t="s">
        <v>126</v>
      </c>
      <c r="E30" s="286" t="s">
        <v>84</v>
      </c>
      <c r="F30" s="1"/>
      <c r="G30" s="1"/>
      <c r="H30" s="1"/>
      <c r="I30" s="1"/>
    </row>
    <row r="31" spans="1:10">
      <c r="A31" s="3" t="s">
        <v>120</v>
      </c>
      <c r="B31" s="287">
        <f>E16*7%*1.18</f>
        <v>6058.7100000000009</v>
      </c>
      <c r="C31" s="288" t="s">
        <v>88</v>
      </c>
      <c r="D31" s="289">
        <v>1</v>
      </c>
      <c r="E31" s="290">
        <f>B31*D31</f>
        <v>6058.7100000000009</v>
      </c>
      <c r="F31" s="1"/>
      <c r="G31" s="1"/>
      <c r="H31" s="1"/>
      <c r="I31" s="1"/>
    </row>
    <row r="32" spans="1:10">
      <c r="A32" s="283"/>
      <c r="B32" s="283"/>
      <c r="C32" s="283"/>
      <c r="D32" s="283"/>
      <c r="E32" s="291">
        <f>E15*7%*1.18</f>
        <v>1009.7850000000001</v>
      </c>
      <c r="F32" s="1"/>
      <c r="G32" s="1"/>
      <c r="H32" s="1"/>
      <c r="I32" s="1"/>
    </row>
    <row r="33" spans="1:10">
      <c r="A33" s="283"/>
      <c r="B33" s="283"/>
      <c r="C33" s="283"/>
      <c r="D33" s="283"/>
      <c r="E33" s="291">
        <f>E32*6</f>
        <v>6058.7100000000009</v>
      </c>
      <c r="F33" s="1"/>
      <c r="G33" s="1"/>
      <c r="H33" s="1"/>
      <c r="I33" s="1"/>
    </row>
    <row r="34" spans="1:10">
      <c r="A34" s="1"/>
      <c r="B34" s="1"/>
      <c r="C34" s="1"/>
      <c r="D34" s="1"/>
      <c r="E34" s="1"/>
      <c r="F34" s="50"/>
      <c r="G34" s="1"/>
      <c r="H34" s="1"/>
      <c r="I34" s="1"/>
    </row>
    <row r="35" spans="1:10" ht="14.25" customHeight="1">
      <c r="A35" s="51" t="s">
        <v>89</v>
      </c>
      <c r="B35" s="52"/>
      <c r="C35" s="52"/>
      <c r="D35" s="52"/>
      <c r="E35" s="52"/>
      <c r="F35" s="53"/>
      <c r="G35" s="52"/>
      <c r="H35" s="52"/>
      <c r="I35" s="1"/>
    </row>
    <row r="36" spans="1:10" ht="25.5">
      <c r="A36" s="54" t="s">
        <v>90</v>
      </c>
      <c r="B36" s="55" t="s">
        <v>91</v>
      </c>
      <c r="C36" s="55" t="s">
        <v>64</v>
      </c>
      <c r="D36" s="55" t="s">
        <v>63</v>
      </c>
      <c r="E36" s="56" t="s">
        <v>92</v>
      </c>
      <c r="F36" s="57" t="s">
        <v>93</v>
      </c>
      <c r="G36" s="58" t="s">
        <v>94</v>
      </c>
      <c r="H36" s="59" t="s">
        <v>95</v>
      </c>
      <c r="I36" s="1"/>
    </row>
    <row r="37" spans="1:10" ht="57">
      <c r="A37" s="261" t="s">
        <v>96</v>
      </c>
      <c r="B37" s="262">
        <v>1</v>
      </c>
      <c r="C37" s="263" t="s">
        <v>64</v>
      </c>
      <c r="D37" s="264">
        <v>6</v>
      </c>
      <c r="E37" s="264">
        <v>150000</v>
      </c>
      <c r="F37" s="64">
        <f>E37*D37*B37</f>
        <v>900000</v>
      </c>
      <c r="G37" s="65">
        <f>F37/J$8</f>
        <v>1538.8813596013154</v>
      </c>
      <c r="H37" s="260" t="s">
        <v>97</v>
      </c>
      <c r="I37" s="1"/>
      <c r="J37" s="66" t="b">
        <f t="shared" ref="J37:J42" si="0">B37*D37*E37=F37</f>
        <v>1</v>
      </c>
    </row>
    <row r="38" spans="1:10" ht="39">
      <c r="A38" s="265" t="s">
        <v>98</v>
      </c>
      <c r="B38" s="262">
        <v>1</v>
      </c>
      <c r="C38" s="266" t="s">
        <v>64</v>
      </c>
      <c r="D38" s="264">
        <v>6</v>
      </c>
      <c r="E38" s="267">
        <v>500000</v>
      </c>
      <c r="F38" s="64">
        <f>B38*D38*E38</f>
        <v>3000000</v>
      </c>
      <c r="G38" s="65">
        <f t="shared" ref="G38:G43" si="1">F38/J$8</f>
        <v>5129.6045320043841</v>
      </c>
      <c r="H38" s="260" t="s">
        <v>99</v>
      </c>
      <c r="I38" s="1"/>
      <c r="J38" s="66" t="b">
        <f t="shared" si="0"/>
        <v>1</v>
      </c>
    </row>
    <row r="39" spans="1:10">
      <c r="A39" s="268" t="s">
        <v>100</v>
      </c>
      <c r="B39" s="262">
        <v>50</v>
      </c>
      <c r="C39" s="266" t="s">
        <v>101</v>
      </c>
      <c r="D39" s="269">
        <v>5</v>
      </c>
      <c r="E39" s="269">
        <v>10000</v>
      </c>
      <c r="F39" s="64">
        <f>B39*D39*E39</f>
        <v>2500000</v>
      </c>
      <c r="G39" s="65">
        <f t="shared" si="1"/>
        <v>4274.6704433369869</v>
      </c>
      <c r="H39" s="71"/>
      <c r="I39" s="1"/>
      <c r="J39" s="66" t="b">
        <f t="shared" si="0"/>
        <v>1</v>
      </c>
    </row>
    <row r="40" spans="1:10">
      <c r="A40" s="268" t="s">
        <v>102</v>
      </c>
      <c r="B40" s="262">
        <v>12</v>
      </c>
      <c r="C40" s="266" t="s">
        <v>103</v>
      </c>
      <c r="D40" s="267">
        <v>2</v>
      </c>
      <c r="E40" s="267">
        <v>50000</v>
      </c>
      <c r="F40" s="64">
        <f>B40*D40*E40</f>
        <v>1200000</v>
      </c>
      <c r="G40" s="65">
        <f t="shared" si="1"/>
        <v>2051.8418128017538</v>
      </c>
      <c r="H40" s="71"/>
      <c r="I40" s="1"/>
      <c r="J40" s="66" t="b">
        <f t="shared" si="0"/>
        <v>1</v>
      </c>
    </row>
    <row r="41" spans="1:10" ht="26.25">
      <c r="A41" s="268" t="s">
        <v>104</v>
      </c>
      <c r="B41" s="262">
        <f>B40</f>
        <v>12</v>
      </c>
      <c r="C41" s="266" t="s">
        <v>105</v>
      </c>
      <c r="D41" s="267">
        <v>200</v>
      </c>
      <c r="E41" s="267">
        <v>700</v>
      </c>
      <c r="F41" s="64">
        <f>B41*D41*E41</f>
        <v>1680000</v>
      </c>
      <c r="G41" s="65">
        <f t="shared" si="1"/>
        <v>2872.5785379224553</v>
      </c>
      <c r="H41" s="71"/>
      <c r="I41" s="1"/>
      <c r="J41" s="66" t="b">
        <f t="shared" si="0"/>
        <v>1</v>
      </c>
    </row>
    <row r="42" spans="1:10">
      <c r="A42" s="268" t="s">
        <v>106</v>
      </c>
      <c r="B42" s="262">
        <f>B41</f>
        <v>12</v>
      </c>
      <c r="C42" s="266" t="s">
        <v>107</v>
      </c>
      <c r="D42" s="267">
        <v>2</v>
      </c>
      <c r="E42" s="267">
        <v>40000</v>
      </c>
      <c r="F42" s="64">
        <f>B42*D42*E42</f>
        <v>960000</v>
      </c>
      <c r="G42" s="65">
        <f t="shared" si="1"/>
        <v>1641.473450241403</v>
      </c>
      <c r="H42" s="71"/>
      <c r="I42" s="1"/>
      <c r="J42" s="66" t="b">
        <f t="shared" si="0"/>
        <v>1</v>
      </c>
    </row>
    <row r="43" spans="1:10">
      <c r="A43" s="270" t="s">
        <v>108</v>
      </c>
      <c r="B43" s="253"/>
      <c r="C43" s="253"/>
      <c r="D43" s="253"/>
      <c r="E43" s="254"/>
      <c r="F43" s="104">
        <f>SUM(F37:F42)</f>
        <v>10240000</v>
      </c>
      <c r="G43" s="105">
        <f t="shared" si="1"/>
        <v>17509.050135908299</v>
      </c>
      <c r="H43" s="71"/>
      <c r="I43" s="1"/>
    </row>
    <row r="44" spans="1:10">
      <c r="A44" s="3"/>
      <c r="B44" s="3"/>
      <c r="C44" s="3"/>
      <c r="D44" s="3"/>
      <c r="E44" s="3"/>
      <c r="F44" s="1"/>
      <c r="G44" s="77"/>
      <c r="H44" s="1"/>
      <c r="I44" s="1"/>
    </row>
    <row r="45" spans="1:10">
      <c r="A45" s="3"/>
      <c r="B45" s="3"/>
      <c r="C45" s="3"/>
      <c r="D45" s="3"/>
      <c r="E45" s="3"/>
      <c r="F45" s="1"/>
      <c r="G45" s="1"/>
      <c r="H45" s="1"/>
      <c r="I45" s="1"/>
    </row>
    <row r="46" spans="1:10">
      <c r="A46" s="271" t="s">
        <v>110</v>
      </c>
      <c r="B46" s="272"/>
      <c r="C46" s="272"/>
      <c r="D46" s="272"/>
      <c r="E46" s="272"/>
      <c r="F46" s="53"/>
      <c r="G46" s="52"/>
      <c r="H46" s="52"/>
      <c r="I46" s="1"/>
    </row>
    <row r="47" spans="1:10" ht="25.5">
      <c r="A47" s="273" t="s">
        <v>90</v>
      </c>
      <c r="B47" s="274" t="s">
        <v>91</v>
      </c>
      <c r="C47" s="274" t="s">
        <v>64</v>
      </c>
      <c r="D47" s="274" t="s">
        <v>63</v>
      </c>
      <c r="E47" s="275" t="s">
        <v>92</v>
      </c>
      <c r="F47" s="57" t="s">
        <v>93</v>
      </c>
      <c r="G47" s="58" t="s">
        <v>94</v>
      </c>
      <c r="H47" s="59" t="s">
        <v>95</v>
      </c>
      <c r="I47" s="1"/>
    </row>
    <row r="48" spans="1:10">
      <c r="A48" s="276" t="s">
        <v>111</v>
      </c>
      <c r="B48" s="277">
        <v>1</v>
      </c>
      <c r="C48" s="278" t="s">
        <v>112</v>
      </c>
      <c r="D48" s="278">
        <v>300</v>
      </c>
      <c r="E48" s="278">
        <v>200</v>
      </c>
      <c r="F48" s="81">
        <f t="shared" ref="F48:F53" si="2">B48*D48*E48</f>
        <v>60000</v>
      </c>
      <c r="G48" s="82">
        <f t="shared" ref="G48:G54" si="3">F48/J$8</f>
        <v>102.59209064008769</v>
      </c>
      <c r="H48" s="83"/>
      <c r="I48" s="1"/>
      <c r="J48" s="66" t="b">
        <f t="shared" ref="J48:J54" si="4">B48*D48*E48=F48</f>
        <v>1</v>
      </c>
    </row>
    <row r="49" spans="1:10">
      <c r="A49" s="279" t="s">
        <v>113</v>
      </c>
      <c r="B49" s="277">
        <v>1</v>
      </c>
      <c r="C49" s="280" t="s">
        <v>103</v>
      </c>
      <c r="D49" s="281">
        <v>2</v>
      </c>
      <c r="E49" s="281">
        <v>50000</v>
      </c>
      <c r="F49" s="81">
        <f t="shared" si="2"/>
        <v>100000</v>
      </c>
      <c r="G49" s="82">
        <f t="shared" si="3"/>
        <v>170.98681773347948</v>
      </c>
      <c r="H49" s="83"/>
      <c r="I49" s="1"/>
      <c r="J49" s="66" t="b">
        <f t="shared" si="4"/>
        <v>1</v>
      </c>
    </row>
    <row r="50" spans="1:10">
      <c r="A50" s="279" t="s">
        <v>104</v>
      </c>
      <c r="B50" s="277">
        <v>1</v>
      </c>
      <c r="C50" s="280" t="s">
        <v>105</v>
      </c>
      <c r="D50" s="281">
        <v>200</v>
      </c>
      <c r="E50" s="280">
        <v>700</v>
      </c>
      <c r="F50" s="81">
        <f t="shared" si="2"/>
        <v>140000</v>
      </c>
      <c r="G50" s="82">
        <f t="shared" si="3"/>
        <v>239.38154482687128</v>
      </c>
      <c r="H50" s="87"/>
      <c r="I50" s="1"/>
      <c r="J50" s="66" t="b">
        <f t="shared" si="4"/>
        <v>1</v>
      </c>
    </row>
    <row r="51" spans="1:10">
      <c r="A51" s="279" t="s">
        <v>114</v>
      </c>
      <c r="B51" s="277">
        <v>7</v>
      </c>
      <c r="C51" s="280" t="s">
        <v>101</v>
      </c>
      <c r="D51" s="282">
        <v>5</v>
      </c>
      <c r="E51" s="282">
        <v>10000</v>
      </c>
      <c r="F51" s="81">
        <f t="shared" si="2"/>
        <v>350000</v>
      </c>
      <c r="G51" s="82">
        <f t="shared" si="3"/>
        <v>598.45386206717819</v>
      </c>
      <c r="H51" s="87"/>
      <c r="I51" s="1"/>
      <c r="J51" s="66" t="b">
        <f t="shared" si="4"/>
        <v>1</v>
      </c>
    </row>
    <row r="52" spans="1:10">
      <c r="A52" s="279" t="s">
        <v>115</v>
      </c>
      <c r="B52" s="277">
        <v>2</v>
      </c>
      <c r="C52" s="280" t="s">
        <v>101</v>
      </c>
      <c r="D52" s="282">
        <v>5</v>
      </c>
      <c r="E52" s="282">
        <v>10000</v>
      </c>
      <c r="F52" s="81">
        <f t="shared" si="2"/>
        <v>100000</v>
      </c>
      <c r="G52" s="82">
        <f t="shared" si="3"/>
        <v>170.98681773347948</v>
      </c>
      <c r="H52" s="87"/>
      <c r="I52" s="1"/>
      <c r="J52" s="66" t="b">
        <f t="shared" si="4"/>
        <v>1</v>
      </c>
    </row>
    <row r="53" spans="1:10">
      <c r="A53" s="279" t="s">
        <v>116</v>
      </c>
      <c r="B53" s="277">
        <v>1</v>
      </c>
      <c r="C53" s="280" t="s">
        <v>107</v>
      </c>
      <c r="D53" s="281">
        <v>2</v>
      </c>
      <c r="E53" s="281">
        <v>40000</v>
      </c>
      <c r="F53" s="81">
        <f t="shared" si="2"/>
        <v>80000</v>
      </c>
      <c r="G53" s="82">
        <f t="shared" si="3"/>
        <v>136.78945418678359</v>
      </c>
      <c r="H53" s="87"/>
      <c r="I53" s="1"/>
      <c r="J53" s="66" t="b">
        <f t="shared" si="4"/>
        <v>1</v>
      </c>
    </row>
    <row r="54" spans="1:10">
      <c r="A54" s="243" t="s">
        <v>117</v>
      </c>
      <c r="B54" s="244"/>
      <c r="C54" s="244"/>
      <c r="D54" s="244"/>
      <c r="E54" s="245"/>
      <c r="F54" s="81">
        <f>F48+F49+F50+F51+F52+F53</f>
        <v>830000</v>
      </c>
      <c r="G54" s="82">
        <f t="shared" si="3"/>
        <v>1419.1905871878796</v>
      </c>
      <c r="H54" s="87"/>
      <c r="I54" s="1"/>
      <c r="J54" s="66" t="b">
        <f t="shared" si="4"/>
        <v>0</v>
      </c>
    </row>
    <row r="55" spans="1:10">
      <c r="A55" s="1"/>
      <c r="B55" s="1"/>
      <c r="C55" s="1"/>
      <c r="D55" s="1"/>
      <c r="E55" s="1"/>
      <c r="F55" s="1"/>
      <c r="G55" s="1"/>
      <c r="H55" s="1"/>
      <c r="I55" s="1"/>
    </row>
    <row r="56" spans="1:10">
      <c r="A56" s="1"/>
      <c r="B56" s="1"/>
      <c r="C56" s="1"/>
      <c r="D56" s="1"/>
      <c r="E56" s="1"/>
      <c r="F56" s="1"/>
      <c r="G56" s="1"/>
      <c r="H56" s="1"/>
      <c r="I56" s="1"/>
    </row>
    <row r="57" spans="1:10">
      <c r="A57" s="1"/>
      <c r="B57" s="1"/>
      <c r="C57" s="1"/>
      <c r="D57" s="1"/>
      <c r="E57" s="1"/>
      <c r="F57" s="1"/>
      <c r="G57" s="1"/>
      <c r="H57" s="1"/>
      <c r="I57" s="1"/>
    </row>
    <row r="58" spans="1:10">
      <c r="A58" s="1"/>
      <c r="B58" s="1"/>
      <c r="C58" s="1"/>
      <c r="D58" s="1"/>
      <c r="E58" s="1"/>
      <c r="F58" s="1"/>
      <c r="G58" s="1"/>
      <c r="H58" s="1"/>
      <c r="I58" s="1"/>
    </row>
    <row r="59" spans="1:10">
      <c r="A59" s="1"/>
      <c r="B59" s="1"/>
      <c r="C59" s="1"/>
      <c r="D59" s="1"/>
      <c r="E59" s="1"/>
      <c r="F59" s="1"/>
      <c r="G59" s="1"/>
      <c r="H59" s="1"/>
      <c r="I59" s="1"/>
    </row>
    <row r="60" spans="1:10">
      <c r="A60" s="1"/>
      <c r="B60" s="1"/>
      <c r="C60" s="1"/>
      <c r="D60" s="1"/>
      <c r="E60" s="1"/>
      <c r="F60" s="1"/>
      <c r="G60" s="89"/>
      <c r="H60" s="1"/>
      <c r="I60" s="1"/>
    </row>
    <row r="61" spans="1:10">
      <c r="A61" s="1"/>
      <c r="B61" s="1"/>
      <c r="C61" s="1"/>
      <c r="D61" s="1"/>
      <c r="E61" s="1"/>
      <c r="F61" s="1"/>
      <c r="G61" s="1"/>
      <c r="H61" s="1"/>
      <c r="I61" s="1"/>
    </row>
    <row r="62" spans="1:10">
      <c r="A62" s="1"/>
      <c r="B62" s="1"/>
      <c r="C62" s="1"/>
      <c r="D62" s="1"/>
      <c r="E62" s="1"/>
      <c r="F62" s="1"/>
      <c r="G62" s="1"/>
      <c r="H62" s="1"/>
      <c r="I62" s="1"/>
    </row>
    <row r="63" spans="1:10">
      <c r="A63" s="1"/>
      <c r="B63" s="1"/>
      <c r="C63" s="1"/>
      <c r="D63" s="1"/>
      <c r="E63" s="1"/>
      <c r="F63" s="1"/>
      <c r="G63" s="1"/>
      <c r="H63" s="1"/>
      <c r="I63" s="1"/>
    </row>
    <row r="64" spans="1:10">
      <c r="A64" s="1"/>
      <c r="B64" s="1"/>
      <c r="C64" s="1"/>
      <c r="D64" s="1"/>
      <c r="E64" s="1"/>
      <c r="F64" s="1"/>
      <c r="G64" s="1"/>
      <c r="H64" s="1"/>
      <c r="I64" s="1"/>
    </row>
    <row r="65" spans="1:9">
      <c r="A65" s="1"/>
      <c r="B65" s="1"/>
      <c r="C65" s="1"/>
      <c r="D65" s="1"/>
      <c r="E65" s="1"/>
      <c r="F65" s="1"/>
      <c r="G65" s="1"/>
      <c r="H65" s="1"/>
      <c r="I65" s="1"/>
    </row>
    <row r="66" spans="1:9">
      <c r="A66" s="1"/>
      <c r="B66" s="1"/>
      <c r="C66" s="1"/>
      <c r="D66" s="1"/>
      <c r="E66" s="1"/>
      <c r="F66" s="1"/>
      <c r="G66" s="1"/>
      <c r="H66" s="1"/>
      <c r="I66" s="1"/>
    </row>
    <row r="67" spans="1:9">
      <c r="A67" s="1"/>
      <c r="B67" s="1"/>
      <c r="C67" s="1"/>
      <c r="D67" s="1"/>
      <c r="E67" s="1"/>
      <c r="F67" s="1"/>
      <c r="G67" s="1"/>
      <c r="H67" s="1"/>
      <c r="I67" s="1"/>
    </row>
    <row r="68" spans="1:9">
      <c r="A68" s="1"/>
      <c r="B68" s="1"/>
      <c r="C68" s="1"/>
      <c r="D68" s="1"/>
      <c r="E68" s="1"/>
      <c r="F68" s="1"/>
      <c r="G68" s="1"/>
      <c r="H68" s="1"/>
      <c r="I68" s="1"/>
    </row>
    <row r="69" spans="1:9">
      <c r="A69" s="1"/>
      <c r="B69" s="1"/>
      <c r="C69" s="1"/>
      <c r="D69" s="1"/>
      <c r="E69" s="1"/>
      <c r="F69" s="1"/>
      <c r="G69" s="1"/>
      <c r="H69" s="1"/>
      <c r="I69" s="1"/>
    </row>
    <row r="70" spans="1:9">
      <c r="A70" s="1"/>
      <c r="B70" s="1"/>
      <c r="C70" s="1"/>
      <c r="D70" s="1"/>
      <c r="E70" s="1"/>
      <c r="F70" s="1"/>
      <c r="G70" s="1"/>
      <c r="H70" s="1"/>
      <c r="I70" s="1"/>
    </row>
    <row r="71" spans="1:9">
      <c r="A71" s="1"/>
      <c r="B71" s="1"/>
      <c r="C71" s="1"/>
      <c r="D71" s="1"/>
      <c r="E71" s="1"/>
      <c r="F71" s="1"/>
      <c r="G71" s="1"/>
      <c r="H71" s="1"/>
      <c r="I71" s="1"/>
    </row>
    <row r="72" spans="1:9">
      <c r="A72" s="1"/>
      <c r="B72" s="1"/>
      <c r="C72" s="1"/>
      <c r="D72" s="1"/>
      <c r="E72" s="1"/>
      <c r="F72" s="1"/>
      <c r="G72" s="1"/>
      <c r="H72" s="1"/>
      <c r="I72" s="1"/>
    </row>
    <row r="73" spans="1:9">
      <c r="A73" s="1"/>
      <c r="B73" s="1"/>
      <c r="C73" s="1"/>
      <c r="D73" s="1"/>
      <c r="E73" s="1"/>
      <c r="F73" s="1"/>
      <c r="G73" s="1"/>
      <c r="H73" s="1"/>
      <c r="I73" s="1"/>
    </row>
    <row r="74" spans="1:9">
      <c r="A74" s="1"/>
      <c r="B74" s="1"/>
      <c r="C74" s="1"/>
      <c r="D74" s="1"/>
      <c r="E74" s="1"/>
      <c r="F74" s="1"/>
      <c r="G74" s="1"/>
      <c r="H74" s="1"/>
      <c r="I74" s="1"/>
    </row>
    <row r="75" spans="1:9">
      <c r="A75" s="1"/>
      <c r="B75" s="1"/>
      <c r="C75" s="1"/>
      <c r="D75" s="1"/>
      <c r="E75" s="1"/>
      <c r="F75" s="1"/>
      <c r="G75" s="1"/>
      <c r="H75" s="1"/>
      <c r="I75" s="1"/>
    </row>
    <row r="76" spans="1:9">
      <c r="A76" s="1"/>
      <c r="B76" s="1"/>
      <c r="C76" s="1"/>
      <c r="D76" s="1"/>
      <c r="E76" s="1"/>
      <c r="F76" s="1"/>
      <c r="G76" s="1"/>
      <c r="H76" s="1"/>
      <c r="I76" s="1"/>
    </row>
    <row r="77" spans="1:9">
      <c r="A77" s="1"/>
      <c r="B77" s="1"/>
      <c r="C77" s="1"/>
      <c r="D77" s="1"/>
      <c r="E77" s="1"/>
      <c r="F77" s="1"/>
      <c r="G77" s="1"/>
      <c r="H77" s="1"/>
      <c r="I77" s="1"/>
    </row>
    <row r="78" spans="1:9">
      <c r="A78" s="1"/>
      <c r="B78" s="1"/>
      <c r="C78" s="1"/>
      <c r="D78" s="1"/>
      <c r="E78" s="1"/>
      <c r="F78" s="1"/>
      <c r="G78" s="1"/>
      <c r="H78" s="1"/>
      <c r="I78" s="1"/>
    </row>
    <row r="79" spans="1:9">
      <c r="A79" s="1"/>
      <c r="B79" s="1"/>
      <c r="C79" s="1"/>
      <c r="D79" s="1"/>
      <c r="E79" s="1"/>
      <c r="F79" s="1"/>
      <c r="G79" s="1"/>
      <c r="H79" s="1"/>
      <c r="I79" s="1"/>
    </row>
    <row r="80" spans="1:9">
      <c r="A80" s="1"/>
      <c r="B80" s="1"/>
      <c r="C80" s="1"/>
      <c r="D80" s="1"/>
      <c r="E80" s="1"/>
      <c r="F80" s="1"/>
      <c r="G80" s="1"/>
      <c r="H80" s="1"/>
      <c r="I80" s="1"/>
    </row>
    <row r="81" spans="1:9">
      <c r="A81" s="1"/>
      <c r="B81" s="1"/>
      <c r="C81" s="1"/>
      <c r="D81" s="1"/>
      <c r="E81" s="1"/>
      <c r="F81" s="1"/>
      <c r="G81" s="1"/>
      <c r="H81" s="1"/>
      <c r="I81" s="1"/>
    </row>
    <row r="82" spans="1:9">
      <c r="A82" s="1"/>
      <c r="B82" s="1"/>
      <c r="C82" s="1"/>
      <c r="D82" s="1"/>
      <c r="E82" s="1"/>
      <c r="F82" s="1"/>
      <c r="G82" s="1"/>
      <c r="H82" s="1"/>
      <c r="I82" s="1"/>
    </row>
    <row r="83" spans="1:9">
      <c r="A83" s="1"/>
      <c r="B83" s="1"/>
      <c r="C83" s="1"/>
      <c r="D83" s="1"/>
      <c r="E83" s="1"/>
      <c r="F83" s="1"/>
      <c r="G83" s="1"/>
      <c r="H83" s="1"/>
      <c r="I83" s="1"/>
    </row>
    <row r="84" spans="1:9">
      <c r="A84" s="1"/>
      <c r="B84" s="1"/>
      <c r="C84" s="1"/>
      <c r="D84" s="1"/>
      <c r="E84" s="1"/>
      <c r="F84" s="1"/>
      <c r="G84" s="1"/>
      <c r="H84" s="1"/>
      <c r="I84" s="1"/>
    </row>
    <row r="85" spans="1:9">
      <c r="A85" s="1"/>
      <c r="B85" s="1"/>
      <c r="C85" s="1"/>
      <c r="D85" s="1"/>
      <c r="E85" s="1"/>
      <c r="F85" s="1"/>
      <c r="G85" s="1"/>
      <c r="H85" s="1"/>
      <c r="I85" s="1"/>
    </row>
    <row r="86" spans="1:9">
      <c r="A86" s="1"/>
      <c r="B86" s="1"/>
      <c r="C86" s="1"/>
      <c r="D86" s="1"/>
      <c r="E86" s="1"/>
      <c r="F86" s="1"/>
      <c r="G86" s="1"/>
      <c r="H86" s="1"/>
      <c r="I86" s="1"/>
    </row>
    <row r="87" spans="1:9">
      <c r="A87" s="1"/>
      <c r="B87" s="1"/>
      <c r="C87" s="1"/>
      <c r="D87" s="1"/>
      <c r="E87" s="1"/>
      <c r="F87" s="1"/>
      <c r="G87" s="1"/>
      <c r="H87" s="1"/>
      <c r="I87" s="1"/>
    </row>
    <row r="88" spans="1:9">
      <c r="A88" s="1"/>
      <c r="B88" s="1"/>
      <c r="C88" s="1"/>
      <c r="D88" s="1"/>
      <c r="E88" s="1"/>
      <c r="F88" s="1"/>
      <c r="G88" s="1"/>
      <c r="H88" s="1"/>
      <c r="I88" s="1"/>
    </row>
    <row r="89" spans="1:9">
      <c r="A89" s="1"/>
      <c r="B89" s="1"/>
      <c r="C89" s="1"/>
      <c r="D89" s="1"/>
      <c r="E89" s="1"/>
      <c r="F89" s="1"/>
      <c r="G89" s="1"/>
      <c r="H89" s="1"/>
      <c r="I89" s="1"/>
    </row>
    <row r="90" spans="1:9">
      <c r="A90" s="1"/>
      <c r="B90" s="1"/>
      <c r="C90" s="1"/>
      <c r="D90" s="1"/>
      <c r="E90" s="1"/>
      <c r="F90" s="1"/>
      <c r="G90" s="1"/>
      <c r="H90" s="1"/>
      <c r="I90" s="1"/>
    </row>
    <row r="91" spans="1:9">
      <c r="A91" s="1"/>
      <c r="B91" s="1"/>
      <c r="C91" s="1"/>
      <c r="D91" s="1"/>
      <c r="E91" s="1"/>
      <c r="F91" s="1"/>
      <c r="G91" s="1"/>
      <c r="H91" s="1"/>
      <c r="I91" s="1"/>
    </row>
    <row r="92" spans="1:9">
      <c r="A92" s="1"/>
      <c r="B92" s="1"/>
      <c r="C92" s="1"/>
      <c r="D92" s="1"/>
      <c r="E92" s="1"/>
      <c r="F92" s="1"/>
      <c r="G92" s="1"/>
      <c r="H92" s="1"/>
      <c r="I92" s="1"/>
    </row>
    <row r="93" spans="1:9">
      <c r="A93" s="1"/>
      <c r="B93" s="1"/>
      <c r="C93" s="1"/>
      <c r="D93" s="1"/>
      <c r="E93" s="1"/>
      <c r="F93" s="1"/>
      <c r="G93" s="1"/>
      <c r="H93" s="1"/>
      <c r="I93" s="1"/>
    </row>
    <row r="94" spans="1:9">
      <c r="A94" s="1"/>
      <c r="B94" s="1"/>
      <c r="C94" s="1"/>
      <c r="D94" s="1"/>
      <c r="E94" s="1"/>
      <c r="F94" s="1"/>
      <c r="G94" s="1"/>
      <c r="H94" s="1"/>
      <c r="I94" s="1"/>
    </row>
    <row r="95" spans="1:9">
      <c r="A95" s="1"/>
      <c r="B95" s="1"/>
      <c r="C95" s="1"/>
      <c r="D95" s="1"/>
      <c r="E95" s="1"/>
      <c r="F95" s="1"/>
      <c r="G95" s="1"/>
      <c r="H95" s="1"/>
      <c r="I95" s="1"/>
    </row>
    <row r="96" spans="1:9">
      <c r="A96" s="1"/>
      <c r="B96" s="1"/>
      <c r="C96" s="1"/>
      <c r="D96" s="1"/>
      <c r="E96" s="1"/>
      <c r="F96" s="1"/>
      <c r="G96" s="1"/>
      <c r="H96" s="1"/>
      <c r="I96" s="1"/>
    </row>
    <row r="97" spans="1:9">
      <c r="A97" s="1"/>
      <c r="B97" s="1"/>
      <c r="C97" s="1"/>
      <c r="D97" s="1"/>
      <c r="E97" s="1"/>
      <c r="F97" s="1"/>
      <c r="G97" s="1"/>
      <c r="H97" s="1"/>
      <c r="I97" s="1"/>
    </row>
    <row r="98" spans="1:9">
      <c r="A98" s="1"/>
      <c r="B98" s="1"/>
      <c r="C98" s="1"/>
      <c r="D98" s="1"/>
      <c r="E98" s="1"/>
      <c r="F98" s="1"/>
      <c r="G98" s="1"/>
      <c r="H98" s="1"/>
      <c r="I98" s="1"/>
    </row>
    <row r="99" spans="1:9">
      <c r="A99" s="1"/>
      <c r="B99" s="1"/>
      <c r="C99" s="1"/>
      <c r="D99" s="1"/>
      <c r="E99" s="1"/>
      <c r="F99" s="1"/>
      <c r="G99" s="1"/>
      <c r="H99" s="1"/>
      <c r="I99" s="1"/>
    </row>
    <row r="100" spans="1:9">
      <c r="A100" s="1"/>
      <c r="B100" s="1"/>
      <c r="C100" s="1"/>
      <c r="D100" s="1"/>
      <c r="E100" s="1"/>
      <c r="F100" s="1"/>
      <c r="G100" s="1"/>
      <c r="H100" s="1"/>
      <c r="I100" s="1"/>
    </row>
    <row r="101" spans="1:9">
      <c r="A101" s="1"/>
      <c r="B101" s="1"/>
      <c r="C101" s="1"/>
      <c r="D101" s="1"/>
      <c r="E101" s="1"/>
      <c r="F101" s="1"/>
      <c r="G101" s="1"/>
      <c r="H101" s="1"/>
      <c r="I101" s="1"/>
    </row>
    <row r="102" spans="1:9">
      <c r="A102" s="1"/>
      <c r="B102" s="1"/>
      <c r="C102" s="1"/>
      <c r="D102" s="1"/>
      <c r="E102" s="1"/>
      <c r="F102" s="1"/>
      <c r="G102" s="1"/>
      <c r="H102" s="1"/>
      <c r="I102" s="1"/>
    </row>
    <row r="103" spans="1:9">
      <c r="A103" s="1"/>
      <c r="B103" s="1"/>
      <c r="C103" s="1"/>
      <c r="D103" s="1"/>
      <c r="E103" s="1"/>
      <c r="F103" s="1"/>
      <c r="G103" s="1"/>
      <c r="H103" s="1"/>
      <c r="I103" s="1"/>
    </row>
    <row r="104" spans="1:9">
      <c r="A104" s="1"/>
      <c r="B104" s="1"/>
      <c r="C104" s="1"/>
      <c r="D104" s="1"/>
      <c r="E104" s="1"/>
      <c r="F104" s="1"/>
      <c r="G104" s="1"/>
      <c r="H104" s="1"/>
      <c r="I104" s="1"/>
    </row>
    <row r="105" spans="1:9">
      <c r="A105" s="1"/>
      <c r="B105" s="1"/>
      <c r="C105" s="1"/>
      <c r="D105" s="1"/>
      <c r="E105" s="1"/>
      <c r="F105" s="1"/>
      <c r="G105" s="1"/>
      <c r="H105" s="1"/>
      <c r="I105" s="1"/>
    </row>
    <row r="106" spans="1:9">
      <c r="A106" s="1"/>
      <c r="B106" s="1"/>
      <c r="C106" s="1"/>
      <c r="D106" s="1"/>
      <c r="E106" s="1"/>
      <c r="F106" s="1"/>
      <c r="G106" s="1"/>
      <c r="H106" s="1"/>
      <c r="I106" s="1"/>
    </row>
    <row r="107" spans="1:9">
      <c r="A107" s="1"/>
      <c r="B107" s="1"/>
      <c r="C107" s="1"/>
      <c r="D107" s="1"/>
      <c r="E107" s="1"/>
      <c r="F107" s="1"/>
      <c r="G107" s="1"/>
      <c r="H107" s="1"/>
      <c r="I107" s="1"/>
    </row>
    <row r="108" spans="1:9">
      <c r="A108" s="1"/>
      <c r="B108" s="1"/>
      <c r="C108" s="1"/>
      <c r="D108" s="1"/>
      <c r="E108" s="1"/>
      <c r="F108" s="1"/>
      <c r="G108" s="1"/>
      <c r="H108" s="1"/>
      <c r="I108" s="1"/>
    </row>
    <row r="109" spans="1:9">
      <c r="A109" s="1"/>
      <c r="B109" s="1"/>
      <c r="C109" s="1"/>
      <c r="D109" s="1"/>
      <c r="E109" s="1"/>
      <c r="F109" s="1"/>
      <c r="G109" s="1"/>
      <c r="H109" s="1"/>
      <c r="I109" s="1"/>
    </row>
    <row r="110" spans="1:9">
      <c r="A110" s="1"/>
      <c r="B110" s="1"/>
      <c r="C110" s="1"/>
      <c r="D110" s="1"/>
      <c r="E110" s="1"/>
      <c r="F110" s="1"/>
      <c r="G110" s="1"/>
      <c r="H110" s="1"/>
      <c r="I110" s="1"/>
    </row>
    <row r="111" spans="1:9">
      <c r="A111" s="1"/>
      <c r="B111" s="1"/>
      <c r="C111" s="1"/>
      <c r="D111" s="1"/>
      <c r="E111" s="1"/>
      <c r="F111" s="1"/>
      <c r="G111" s="1"/>
      <c r="H111" s="1"/>
      <c r="I111" s="1"/>
    </row>
    <row r="112" spans="1:9">
      <c r="A112" s="1"/>
      <c r="B112" s="1"/>
      <c r="C112" s="1"/>
      <c r="D112" s="1"/>
      <c r="E112" s="1"/>
      <c r="F112" s="1"/>
      <c r="G112" s="1"/>
      <c r="H112" s="1"/>
      <c r="I112" s="1"/>
    </row>
    <row r="113" spans="1:9">
      <c r="A113" s="1"/>
      <c r="B113" s="1"/>
      <c r="C113" s="1"/>
      <c r="D113" s="1"/>
      <c r="E113" s="1"/>
      <c r="F113" s="1"/>
      <c r="G113" s="1"/>
      <c r="H113" s="1"/>
      <c r="I113" s="1"/>
    </row>
    <row r="114" spans="1:9">
      <c r="A114" s="1"/>
      <c r="B114" s="1"/>
      <c r="C114" s="1"/>
      <c r="D114" s="1"/>
      <c r="E114" s="1"/>
      <c r="F114" s="1"/>
      <c r="G114" s="1"/>
      <c r="H114" s="1"/>
      <c r="I114" s="1"/>
    </row>
    <row r="115" spans="1:9">
      <c r="A115" s="1"/>
      <c r="B115" s="1"/>
      <c r="C115" s="1"/>
      <c r="D115" s="1"/>
      <c r="E115" s="1"/>
      <c r="F115" s="1"/>
      <c r="G115" s="1"/>
      <c r="H115" s="1"/>
      <c r="I115" s="1"/>
    </row>
    <row r="116" spans="1:9">
      <c r="A116" s="1"/>
      <c r="B116" s="1"/>
      <c r="C116" s="1"/>
      <c r="D116" s="1"/>
      <c r="E116" s="1"/>
      <c r="F116" s="1"/>
      <c r="G116" s="1"/>
      <c r="H116" s="1"/>
      <c r="I116" s="1"/>
    </row>
    <row r="117" spans="1:9">
      <c r="A117" s="1"/>
      <c r="B117" s="1"/>
      <c r="C117" s="1"/>
      <c r="D117" s="1"/>
      <c r="E117" s="1"/>
      <c r="F117" s="1"/>
      <c r="G117" s="1"/>
      <c r="H117" s="1"/>
      <c r="I117" s="1"/>
    </row>
    <row r="118" spans="1:9">
      <c r="A118" s="1"/>
      <c r="B118" s="1"/>
      <c r="C118" s="1"/>
      <c r="D118" s="1"/>
      <c r="E118" s="1"/>
      <c r="F118" s="1"/>
      <c r="G118" s="1"/>
      <c r="H118" s="1"/>
      <c r="I118" s="1"/>
    </row>
    <row r="119" spans="1:9">
      <c r="A119" s="1"/>
      <c r="B119" s="1"/>
      <c r="C119" s="1"/>
      <c r="D119" s="1"/>
      <c r="E119" s="1"/>
      <c r="F119" s="1"/>
      <c r="G119" s="1"/>
      <c r="H119" s="1"/>
      <c r="I119" s="1"/>
    </row>
    <row r="120" spans="1:9">
      <c r="A120" s="1"/>
      <c r="B120" s="1"/>
      <c r="C120" s="1"/>
      <c r="D120" s="1"/>
      <c r="E120" s="1"/>
      <c r="F120" s="1"/>
      <c r="G120" s="1"/>
      <c r="H120" s="1"/>
      <c r="I120" s="1"/>
    </row>
    <row r="121" spans="1:9">
      <c r="A121" s="1"/>
      <c r="B121" s="1"/>
      <c r="C121" s="1"/>
      <c r="D121" s="1"/>
      <c r="E121" s="1"/>
      <c r="F121" s="1"/>
      <c r="G121" s="1"/>
      <c r="H121" s="1"/>
      <c r="I121" s="1"/>
    </row>
    <row r="122" spans="1:9">
      <c r="A122" s="1"/>
      <c r="B122" s="1"/>
      <c r="C122" s="1"/>
      <c r="D122" s="1"/>
      <c r="E122" s="1"/>
      <c r="F122" s="1"/>
      <c r="G122" s="1"/>
      <c r="H122" s="1"/>
      <c r="I122" s="1"/>
    </row>
    <row r="123" spans="1:9">
      <c r="A123" s="1"/>
      <c r="B123" s="1"/>
      <c r="C123" s="1"/>
      <c r="D123" s="1"/>
      <c r="E123" s="1"/>
      <c r="F123" s="1"/>
      <c r="G123" s="1"/>
      <c r="H123" s="1"/>
      <c r="I123" s="1"/>
    </row>
    <row r="124" spans="1:9">
      <c r="A124" s="1"/>
      <c r="B124" s="1"/>
      <c r="C124" s="1"/>
      <c r="D124" s="1"/>
      <c r="E124" s="1"/>
      <c r="F124" s="1"/>
      <c r="G124" s="1"/>
      <c r="H124" s="1"/>
      <c r="I124" s="1"/>
    </row>
    <row r="125" spans="1:9">
      <c r="A125" s="1"/>
      <c r="B125" s="1"/>
      <c r="C125" s="1"/>
      <c r="D125" s="1"/>
      <c r="E125" s="1"/>
      <c r="F125" s="1"/>
      <c r="G125" s="1"/>
      <c r="H125" s="1"/>
      <c r="I125" s="1"/>
    </row>
    <row r="126" spans="1:9">
      <c r="A126" s="1"/>
      <c r="B126" s="1"/>
      <c r="C126" s="1"/>
      <c r="D126" s="1"/>
      <c r="E126" s="1"/>
      <c r="F126" s="1"/>
      <c r="G126" s="1"/>
      <c r="H126" s="1"/>
      <c r="I126" s="1"/>
    </row>
    <row r="127" spans="1:9">
      <c r="A127" s="1"/>
      <c r="B127" s="1"/>
      <c r="C127" s="1"/>
      <c r="D127" s="1"/>
      <c r="E127" s="1"/>
      <c r="F127" s="1"/>
      <c r="G127" s="1"/>
      <c r="H127" s="1"/>
      <c r="I127" s="1"/>
    </row>
    <row r="128" spans="1:9">
      <c r="A128" s="1"/>
      <c r="B128" s="1"/>
      <c r="C128" s="1"/>
      <c r="D128" s="1"/>
      <c r="E128" s="1"/>
      <c r="F128" s="1"/>
      <c r="G128" s="1"/>
      <c r="H128" s="1"/>
      <c r="I128" s="1"/>
    </row>
    <row r="129" spans="1:9">
      <c r="A129" s="1"/>
      <c r="B129" s="1"/>
      <c r="C129" s="1"/>
      <c r="D129" s="1"/>
      <c r="E129" s="1"/>
      <c r="F129" s="1"/>
      <c r="G129" s="1"/>
      <c r="H129" s="1"/>
      <c r="I129" s="1"/>
    </row>
    <row r="130" spans="1:9">
      <c r="A130" s="1"/>
      <c r="B130" s="1"/>
      <c r="C130" s="1"/>
      <c r="D130" s="1"/>
      <c r="E130" s="1"/>
      <c r="F130" s="1"/>
      <c r="G130" s="1"/>
      <c r="H130" s="1"/>
      <c r="I130" s="1"/>
    </row>
    <row r="131" spans="1:9">
      <c r="A131" s="1"/>
      <c r="B131" s="1"/>
      <c r="C131" s="1"/>
      <c r="D131" s="1"/>
      <c r="E131" s="1"/>
      <c r="F131" s="1"/>
      <c r="G131" s="1"/>
      <c r="H131" s="1"/>
      <c r="I131" s="1"/>
    </row>
    <row r="132" spans="1:9">
      <c r="A132" s="1"/>
      <c r="B132" s="1"/>
      <c r="C132" s="1"/>
      <c r="D132" s="1"/>
      <c r="E132" s="1"/>
      <c r="F132" s="1"/>
      <c r="G132" s="1"/>
      <c r="H132" s="1"/>
      <c r="I132" s="1"/>
    </row>
    <row r="133" spans="1:9">
      <c r="A133" s="1"/>
      <c r="B133" s="1"/>
      <c r="C133" s="1"/>
      <c r="D133" s="1"/>
      <c r="E133" s="1"/>
      <c r="F133" s="1"/>
      <c r="G133" s="1"/>
      <c r="H133" s="1"/>
      <c r="I133" s="1"/>
    </row>
    <row r="134" spans="1:9">
      <c r="A134" s="1"/>
      <c r="B134" s="1"/>
      <c r="C134" s="1"/>
      <c r="D134" s="1"/>
      <c r="E134" s="1"/>
      <c r="F134" s="1"/>
      <c r="G134" s="1"/>
      <c r="H134" s="1"/>
      <c r="I134" s="1"/>
    </row>
    <row r="135" spans="1:9">
      <c r="A135" s="1"/>
      <c r="B135" s="1"/>
      <c r="C135" s="1"/>
      <c r="D135" s="1"/>
      <c r="E135" s="1"/>
      <c r="F135" s="1"/>
      <c r="G135" s="1"/>
      <c r="H135" s="1"/>
      <c r="I135" s="1"/>
    </row>
  </sheetData>
  <mergeCells count="7">
    <mergeCell ref="A54:E54"/>
    <mergeCell ref="H10:I10"/>
    <mergeCell ref="H11:I16"/>
    <mergeCell ref="A15:D15"/>
    <mergeCell ref="A16:D16"/>
    <mergeCell ref="A26:E26"/>
    <mergeCell ref="A43:E43"/>
  </mergeCells>
  <conditionalFormatting sqref="A36:H36 A47:H47">
    <cfRule type="containsText" dxfId="1" priority="1" operator="containsText" text="faux">
      <formula>NOT(ISERROR(SEARCH(("faux"),(A36))))</formula>
    </cfRule>
  </conditionalFormatting>
  <conditionalFormatting sqref="A36:H36 A47:H47">
    <cfRule type="containsText" dxfId="0" priority="2" operator="containsText" text="vrai">
      <formula>NOT(ISERROR(SEARCH(("vrai"),(A36))))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Coûts Activites</vt:lpstr>
      <vt:lpstr>AA_Coupon</vt:lpstr>
      <vt:lpstr>AA_Cash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KABORE Theodore</dc:creator>
  <cp:lastModifiedBy>KABORE Theodore</cp:lastModifiedBy>
  <dcterms:created xsi:type="dcterms:W3CDTF">2022-05-10T09:43:46Z</dcterms:created>
  <dcterms:modified xsi:type="dcterms:W3CDTF">2022-11-14T14:21:56Z</dcterms:modified>
</cp:coreProperties>
</file>